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C:\Users\fahriza\Downloads\"/>
    </mc:Choice>
  </mc:AlternateContent>
  <xr:revisionPtr revIDLastSave="0" documentId="13_ncr:1_{71A524F2-ED29-465C-9CD5-9278322AF84B}" xr6:coauthVersionLast="47" xr6:coauthVersionMax="47" xr10:uidLastSave="{00000000-0000-0000-0000-000000000000}"/>
  <bookViews>
    <workbookView xWindow="-120" yWindow="-120" windowWidth="20730" windowHeight="11160" firstSheet="2" activeTab="4" xr2:uid="{26D4546B-D2A1-4444-8EAF-A6228F96F0C1}"/>
  </bookViews>
  <sheets>
    <sheet name="Nz staff" sheetId="1" r:id="rId1"/>
    <sheet name="India Staff" sheetId="2" r:id="rId2"/>
    <sheet name="staff" sheetId="5" r:id="rId3"/>
    <sheet name="information finder" sheetId="6" r:id="rId4"/>
    <sheet name="Male vs female" sheetId="7" r:id="rId5"/>
    <sheet name="Salary vs rating" sheetId="9" r:id="rId6"/>
    <sheet name="headcount by departemen" sheetId="10" r:id="rId7"/>
  </sheets>
  <definedNames>
    <definedName name="_xlnm._FilterDatabase" localSheetId="1" hidden="1">'India Staff'!$B$2:$H$114</definedName>
    <definedName name="_xlnm._FilterDatabase" localSheetId="0" hidden="1">'Nz staff'!$C$5:$I$105</definedName>
    <definedName name="_xlchart.v1.0" hidden="1">staff!$G$2:$G$184</definedName>
    <definedName name="_xlchart.v1.1" hidden="1">staff!$G$1</definedName>
    <definedName name="_xlchart.v1.2" hidden="1">staff!$G$2:$G$185</definedName>
    <definedName name="_xlchart.v1.3" hidden="1">staff!$G$2:$G$184</definedName>
    <definedName name="ExternalData_3" localSheetId="2" hidden="1">staff!$A$1:$H$184</definedName>
    <definedName name="Slicer_Country">#N/A</definedName>
  </definedNames>
  <calcPr calcId="191029"/>
  <pivotCaches>
    <pivotCache cacheId="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M2" i="10" l="1"/>
  <c r="I2" i="10"/>
  <c r="K2" i="10" s="1"/>
  <c r="F2" i="10"/>
  <c r="B2" i="10"/>
  <c r="K3" i="9" a="1"/>
  <c r="K3" i="9" s="1"/>
  <c r="L3" i="9" s="1" a="1"/>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P5" i="5"/>
  <c r="P4" i="5"/>
  <c r="O4" i="5"/>
  <c r="D6" i="6"/>
  <c r="O7" i="5"/>
  <c r="P7" i="5" s="1"/>
  <c r="I162" i="5"/>
  <c r="J162" i="5" s="1"/>
  <c r="I18" i="5"/>
  <c r="J18" i="5" s="1"/>
  <c r="I142" i="5"/>
  <c r="J142" i="5" s="1"/>
  <c r="I20" i="5"/>
  <c r="J20" i="5" s="1"/>
  <c r="I175" i="5"/>
  <c r="J175" i="5" s="1"/>
  <c r="I46" i="5"/>
  <c r="J46" i="5" s="1"/>
  <c r="I130" i="5"/>
  <c r="J130" i="5" s="1"/>
  <c r="I124" i="5"/>
  <c r="J124" i="5" s="1"/>
  <c r="I90" i="5"/>
  <c r="J90" i="5" s="1"/>
  <c r="I156" i="5"/>
  <c r="J156" i="5" s="1"/>
  <c r="I146" i="5"/>
  <c r="J146" i="5" s="1"/>
  <c r="I134" i="5"/>
  <c r="J134" i="5" s="1"/>
  <c r="I24" i="5"/>
  <c r="J24" i="5" s="1"/>
  <c r="I8" i="5"/>
  <c r="J8" i="5" s="1"/>
  <c r="I163" i="5"/>
  <c r="J163" i="5" s="1"/>
  <c r="I32" i="5"/>
  <c r="J32" i="5" s="1"/>
  <c r="I181" i="5"/>
  <c r="J181" i="5" s="1"/>
  <c r="I82" i="5"/>
  <c r="J82" i="5" s="1"/>
  <c r="I108" i="5"/>
  <c r="J108" i="5" s="1"/>
  <c r="I102" i="5"/>
  <c r="J102" i="5" s="1"/>
  <c r="I44" i="5"/>
  <c r="J44" i="5" s="1"/>
  <c r="I120" i="5"/>
  <c r="J120" i="5" s="1"/>
  <c r="I6" i="5"/>
  <c r="J6" i="5" s="1"/>
  <c r="I92" i="5"/>
  <c r="J92" i="5" s="1"/>
  <c r="I10" i="5"/>
  <c r="J10" i="5" s="1"/>
  <c r="I140" i="5"/>
  <c r="J140" i="5" s="1"/>
  <c r="I50" i="5"/>
  <c r="J50" i="5" s="1"/>
  <c r="I171" i="5"/>
  <c r="J171" i="5" s="1"/>
  <c r="I12" i="5"/>
  <c r="J12" i="5" s="1"/>
  <c r="I160" i="5"/>
  <c r="J160" i="5" s="1"/>
  <c r="I22" i="5"/>
  <c r="J22" i="5" s="1"/>
  <c r="I70" i="5"/>
  <c r="J70" i="5" s="1"/>
  <c r="I138" i="5"/>
  <c r="J138" i="5" s="1"/>
  <c r="I110" i="5"/>
  <c r="J110" i="5" s="1"/>
  <c r="I34" i="5"/>
  <c r="J34" i="5" s="1"/>
  <c r="I158" i="5"/>
  <c r="J158" i="5" s="1"/>
  <c r="I183" i="5"/>
  <c r="J183" i="5" s="1"/>
  <c r="I165" i="5"/>
  <c r="J165" i="5" s="1"/>
  <c r="I173" i="5"/>
  <c r="J173" i="5" s="1"/>
  <c r="I30" i="5"/>
  <c r="J30" i="5" s="1"/>
  <c r="I98" i="5"/>
  <c r="J98" i="5" s="1"/>
  <c r="I36" i="5"/>
  <c r="J36" i="5" s="1"/>
  <c r="I114" i="5"/>
  <c r="J114" i="5" s="1"/>
  <c r="I2" i="5"/>
  <c r="J2" i="5" s="1"/>
  <c r="I94" i="5"/>
  <c r="J94" i="5" s="1"/>
  <c r="I52" i="5"/>
  <c r="J52" i="5" s="1"/>
  <c r="I148" i="5"/>
  <c r="J148" i="5" s="1"/>
  <c r="I48" i="5"/>
  <c r="J48" i="5" s="1"/>
  <c r="I126" i="5"/>
  <c r="J126" i="5" s="1"/>
  <c r="I84" i="5"/>
  <c r="J84" i="5" s="1"/>
  <c r="I100" i="5"/>
  <c r="J100" i="5" s="1"/>
  <c r="I122" i="5"/>
  <c r="J122" i="5" s="1"/>
  <c r="I60" i="5"/>
  <c r="J60" i="5" s="1"/>
  <c r="I177" i="5"/>
  <c r="J177" i="5" s="1"/>
  <c r="I66" i="5"/>
  <c r="J66" i="5" s="1"/>
  <c r="I64" i="5"/>
  <c r="J64" i="5" s="1"/>
  <c r="I128" i="5"/>
  <c r="J128" i="5" s="1"/>
  <c r="I28" i="5"/>
  <c r="J28" i="5" s="1"/>
  <c r="I112" i="5"/>
  <c r="J112" i="5" s="1"/>
  <c r="I118" i="5"/>
  <c r="J118" i="5" s="1"/>
  <c r="I76" i="5"/>
  <c r="J76" i="5" s="1"/>
  <c r="I38" i="5"/>
  <c r="J38" i="5" s="1"/>
  <c r="I16" i="5"/>
  <c r="J16" i="5" s="1"/>
  <c r="I154" i="5"/>
  <c r="J154" i="5" s="1"/>
  <c r="I136" i="5"/>
  <c r="J136" i="5" s="1"/>
  <c r="I14" i="5"/>
  <c r="J14" i="5" s="1"/>
  <c r="I88" i="5"/>
  <c r="J88" i="5" s="1"/>
  <c r="I167" i="5"/>
  <c r="J167" i="5" s="1"/>
  <c r="I116" i="5"/>
  <c r="J116" i="5" s="1"/>
  <c r="I39" i="5"/>
  <c r="J39" i="5" s="1"/>
  <c r="I78" i="5"/>
  <c r="J78" i="5" s="1"/>
  <c r="I72" i="5"/>
  <c r="J72" i="5" s="1"/>
  <c r="I80" i="5"/>
  <c r="J80" i="5" s="1"/>
  <c r="I58" i="5"/>
  <c r="J58" i="5" s="1"/>
  <c r="I150" i="5"/>
  <c r="J150" i="5" s="1"/>
  <c r="I179" i="5"/>
  <c r="J179" i="5" s="1"/>
  <c r="I104" i="5"/>
  <c r="J104" i="5" s="1"/>
  <c r="I169" i="5"/>
  <c r="J169" i="5" s="1"/>
  <c r="I144" i="5"/>
  <c r="J144" i="5" s="1"/>
  <c r="I74" i="5"/>
  <c r="J74" i="5" s="1"/>
  <c r="I4" i="5"/>
  <c r="J4" i="5" s="1"/>
  <c r="I62" i="5"/>
  <c r="J62" i="5" s="1"/>
  <c r="I152" i="5"/>
  <c r="J152" i="5" s="1"/>
  <c r="I68" i="5"/>
  <c r="J68" i="5" s="1"/>
  <c r="I96" i="5"/>
  <c r="J96" i="5" s="1"/>
  <c r="I42" i="5"/>
  <c r="J42" i="5" s="1"/>
  <c r="I106" i="5"/>
  <c r="J106" i="5" s="1"/>
  <c r="I54" i="5"/>
  <c r="J54" i="5" s="1"/>
  <c r="I86" i="5"/>
  <c r="J86" i="5" s="1"/>
  <c r="I56" i="5"/>
  <c r="J56" i="5" s="1"/>
  <c r="I26" i="5"/>
  <c r="J26" i="5" s="1"/>
  <c r="I132" i="5"/>
  <c r="J132" i="5" s="1"/>
  <c r="I166" i="5"/>
  <c r="J166" i="5" s="1"/>
  <c r="I87" i="5"/>
  <c r="J87" i="5" s="1"/>
  <c r="I37" i="5"/>
  <c r="J37" i="5" s="1"/>
  <c r="I176" i="5"/>
  <c r="J176" i="5" s="1"/>
  <c r="I40" i="5"/>
  <c r="J40" i="5" s="1"/>
  <c r="I161" i="5"/>
  <c r="J161" i="5" s="1"/>
  <c r="I27" i="5"/>
  <c r="J27" i="5" s="1"/>
  <c r="I63" i="5"/>
  <c r="J63" i="5" s="1"/>
  <c r="I43" i="5"/>
  <c r="J43" i="5" s="1"/>
  <c r="I184" i="5"/>
  <c r="J184" i="5" s="1"/>
  <c r="I159" i="5"/>
  <c r="J159" i="5" s="1"/>
  <c r="I69" i="5"/>
  <c r="J69" i="5" s="1"/>
  <c r="I79" i="5"/>
  <c r="J79" i="5" s="1"/>
  <c r="I153" i="5"/>
  <c r="J153" i="5" s="1"/>
  <c r="I19" i="5"/>
  <c r="J19" i="5" s="1"/>
  <c r="I137" i="5"/>
  <c r="J137" i="5" s="1"/>
  <c r="I9" i="5"/>
  <c r="J9" i="5" s="1"/>
  <c r="I49" i="5"/>
  <c r="J49" i="5" s="1"/>
  <c r="I15" i="5"/>
  <c r="J15" i="5" s="1"/>
  <c r="I99" i="5"/>
  <c r="J99" i="5" s="1"/>
  <c r="I53" i="5"/>
  <c r="J53" i="5" s="1"/>
  <c r="I73" i="5"/>
  <c r="J73" i="5" s="1"/>
  <c r="I51" i="5"/>
  <c r="J51" i="5" s="1"/>
  <c r="I31" i="5"/>
  <c r="J31" i="5" s="1"/>
  <c r="I65" i="5"/>
  <c r="J65" i="5" s="1"/>
  <c r="I93" i="5"/>
  <c r="J93" i="5" s="1"/>
  <c r="I119" i="5"/>
  <c r="J119" i="5" s="1"/>
  <c r="I5" i="5"/>
  <c r="J5" i="5" s="1"/>
  <c r="I101" i="5"/>
  <c r="J101" i="5" s="1"/>
  <c r="I59" i="5"/>
  <c r="J59" i="5" s="1"/>
  <c r="I97" i="5"/>
  <c r="J97" i="5" s="1"/>
  <c r="I178" i="5"/>
  <c r="J178" i="5" s="1"/>
  <c r="I107" i="5"/>
  <c r="J107" i="5" s="1"/>
  <c r="I157" i="5"/>
  <c r="J157" i="5" s="1"/>
  <c r="I33" i="5"/>
  <c r="J33" i="5" s="1"/>
  <c r="I139" i="5"/>
  <c r="J139" i="5" s="1"/>
  <c r="I133" i="5"/>
  <c r="J133" i="5" s="1"/>
  <c r="I143" i="5"/>
  <c r="J143" i="5" s="1"/>
  <c r="I29" i="5"/>
  <c r="J29" i="5" s="1"/>
  <c r="I35" i="5"/>
  <c r="J35" i="5" s="1"/>
  <c r="I105" i="5"/>
  <c r="J105" i="5" s="1"/>
  <c r="I117" i="5"/>
  <c r="J117" i="5" s="1"/>
  <c r="I113" i="5"/>
  <c r="J113" i="5" s="1"/>
  <c r="I129" i="5"/>
  <c r="J129" i="5" s="1"/>
  <c r="I164" i="5"/>
  <c r="J164" i="5" s="1"/>
  <c r="I109" i="5"/>
  <c r="J109" i="5" s="1"/>
  <c r="I77" i="5"/>
  <c r="J77" i="5" s="1"/>
  <c r="I111" i="5"/>
  <c r="J111" i="5" s="1"/>
  <c r="I55" i="5"/>
  <c r="J55" i="5" s="1"/>
  <c r="I182" i="5"/>
  <c r="J182" i="5" s="1"/>
  <c r="I25" i="5"/>
  <c r="J25" i="5" s="1"/>
  <c r="I21" i="5"/>
  <c r="J21" i="5" s="1"/>
  <c r="I174" i="5"/>
  <c r="J174" i="5" s="1"/>
  <c r="I83" i="5"/>
  <c r="J83" i="5" s="1"/>
  <c r="I89" i="5"/>
  <c r="J89" i="5" s="1"/>
  <c r="I155" i="5"/>
  <c r="J155" i="5" s="1"/>
  <c r="I168" i="5"/>
  <c r="J168" i="5" s="1"/>
  <c r="I81" i="5"/>
  <c r="J81" i="5" s="1"/>
  <c r="I180" i="5"/>
  <c r="J180" i="5" s="1"/>
  <c r="I103" i="5"/>
  <c r="J103" i="5" s="1"/>
  <c r="I172" i="5"/>
  <c r="J172" i="5" s="1"/>
  <c r="I125" i="5"/>
  <c r="J125" i="5" s="1"/>
  <c r="I149" i="5"/>
  <c r="J149" i="5" s="1"/>
  <c r="I45" i="5"/>
  <c r="J45" i="5" s="1"/>
  <c r="I123" i="5"/>
  <c r="J123" i="5" s="1"/>
  <c r="I47" i="5"/>
  <c r="J47" i="5" s="1"/>
  <c r="I131" i="5"/>
  <c r="J131" i="5" s="1"/>
  <c r="I71" i="5"/>
  <c r="J71" i="5" s="1"/>
  <c r="I23" i="5"/>
  <c r="J23" i="5" s="1"/>
  <c r="I61" i="5"/>
  <c r="J61" i="5" s="1"/>
  <c r="I145" i="5"/>
  <c r="J145" i="5" s="1"/>
  <c r="I121" i="5"/>
  <c r="J121" i="5" s="1"/>
  <c r="I141" i="5"/>
  <c r="J141" i="5" s="1"/>
  <c r="I170" i="5"/>
  <c r="J170" i="5" s="1"/>
  <c r="I3" i="5"/>
  <c r="J3" i="5" s="1"/>
  <c r="I151" i="5"/>
  <c r="J151" i="5" s="1"/>
  <c r="I11" i="5"/>
  <c r="J11" i="5" s="1"/>
  <c r="I127" i="5"/>
  <c r="J127" i="5" s="1"/>
  <c r="I7" i="5"/>
  <c r="J7" i="5" s="1"/>
  <c r="I147" i="5"/>
  <c r="J147" i="5" s="1"/>
  <c r="I135" i="5"/>
  <c r="J135" i="5" s="1"/>
  <c r="I115" i="5"/>
  <c r="J115" i="5" s="1"/>
  <c r="I17" i="5"/>
  <c r="J17" i="5" s="1"/>
  <c r="I57" i="5"/>
  <c r="J57" i="5" s="1"/>
  <c r="I67" i="5"/>
  <c r="J67" i="5" s="1"/>
  <c r="I13" i="5"/>
  <c r="J13" i="5" s="1"/>
  <c r="I95" i="5"/>
  <c r="J95" i="5" s="1"/>
  <c r="I91" i="5"/>
  <c r="J91" i="5" s="1"/>
  <c r="I75" i="5"/>
  <c r="J75" i="5" s="1"/>
  <c r="I85" i="5"/>
  <c r="J85" i="5" s="1"/>
  <c r="I41" i="5"/>
  <c r="J41" i="5" s="1"/>
  <c r="O5" i="5"/>
  <c r="O3" i="5"/>
  <c r="F106" i="1"/>
  <c r="H106" i="1"/>
  <c r="I106" i="1"/>
  <c r="M6" i="9" l="1"/>
  <c r="M10" i="9"/>
  <c r="M14" i="9"/>
  <c r="M18" i="9"/>
  <c r="M22" i="9"/>
  <c r="M26" i="9"/>
  <c r="M30" i="9"/>
  <c r="M34" i="9"/>
  <c r="M38" i="9"/>
  <c r="M7" i="9"/>
  <c r="M11" i="9"/>
  <c r="M15" i="9"/>
  <c r="M19" i="9"/>
  <c r="M23" i="9"/>
  <c r="M27" i="9"/>
  <c r="M31" i="9"/>
  <c r="M35" i="9"/>
  <c r="M4" i="9"/>
  <c r="M8" i="9"/>
  <c r="M12" i="9"/>
  <c r="M16" i="9"/>
  <c r="M20" i="9"/>
  <c r="M24" i="9"/>
  <c r="M28" i="9"/>
  <c r="M32" i="9"/>
  <c r="M36" i="9"/>
  <c r="M5" i="9"/>
  <c r="M9" i="9"/>
  <c r="M13" i="9"/>
  <c r="M17" i="9"/>
  <c r="M21" i="9"/>
  <c r="M25" i="9"/>
  <c r="M29" i="9"/>
  <c r="M33" i="9"/>
  <c r="M37" i="9"/>
  <c r="L3" i="9"/>
  <c r="M3" i="9" s="1"/>
  <c r="O8" i="5"/>
  <c r="P8" i="5" s="1"/>
  <c r="P6" i="5"/>
  <c r="F3" i="6" a="1"/>
  <c r="F3" i="6" s="1"/>
  <c r="O19" i="5" a="1"/>
  <c r="O19" i="5" s="1"/>
  <c r="O6" i="5"/>
  <c r="N6" i="9" l="1"/>
  <c r="N10" i="9"/>
  <c r="N14" i="9"/>
  <c r="N18" i="9"/>
  <c r="N22" i="9"/>
  <c r="N26" i="9"/>
  <c r="N30" i="9"/>
  <c r="N34" i="9"/>
  <c r="N38" i="9"/>
  <c r="N7" i="9"/>
  <c r="N11" i="9"/>
  <c r="N15" i="9"/>
  <c r="N19" i="9"/>
  <c r="N23" i="9"/>
  <c r="N27" i="9"/>
  <c r="N31" i="9"/>
  <c r="N35" i="9"/>
  <c r="N3" i="9"/>
  <c r="N4" i="9"/>
  <c r="N8" i="9"/>
  <c r="N12" i="9"/>
  <c r="N16" i="9"/>
  <c r="N20" i="9"/>
  <c r="N24" i="9"/>
  <c r="N28" i="9"/>
  <c r="N32" i="9"/>
  <c r="N36" i="9"/>
  <c r="N9" i="9"/>
  <c r="N13" i="9"/>
  <c r="N17" i="9"/>
  <c r="N21" i="9"/>
  <c r="N25" i="9"/>
  <c r="N29" i="9"/>
  <c r="N33" i="9"/>
  <c r="N37" i="9"/>
  <c r="N5"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28A1B6-D9EB-4352-9EAB-ED2F98291BB0}" keepAlive="1" name="Query - indian_staff" description="Connection to the 'indian_staff' query in the workbook." type="5" refreshedVersion="0" background="1">
    <dbPr connection="Provider=Microsoft.Mashup.OleDb.1;Data Source=$Workbook$;Location=indian_staff;Extended Properties=&quot;&quot;" command="SELECT * FROM [indian_staff]"/>
  </connection>
  <connection id="2" xr16:uid="{ABFE2BA9-CCBC-4474-ACC9-997D22C89C3A}"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74C175B4-0DC5-4CB0-A5C7-8189BC2D5304}"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<sst xmlns="http://schemas.openxmlformats.org/spreadsheetml/2006/main" count="1862" uniqueCount="244">
  <si>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</si>
  <si>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</si>
  <si>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</si>
  <si>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</si>
  <si>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</si>
  <si>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</si>
  <si>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</si>
  <si>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</si>
  <si>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</si>
  <si>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</si>
  <si>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</si>
  <si>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</si>
  <si>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</si>
  <si>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</si>
  <si>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</si>
  <si>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</si>
  <si>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</si>
  <si>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</si>
  <si>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</si>
  <si>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</si>
  <si>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</si>
  <si>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</si>
  <si>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</si>
  <si>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</si>
  <si>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</si>
  <si>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</si>
  <si>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</si>
  <si>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</si>
  <si>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</si>
  <si>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</si>
  <si>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</si>
  <si>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</si>
  <si>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</si>
  <si>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</si>
  <si>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</si>
  <si>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</si>
  <si>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</si>
  <si>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</si>
  <si>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</si>
  <si>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</si>
  <si>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</si>
  <si>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</si>
  <si>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</si>
  <si>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</si>
  <si>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</si>
  <si>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</si>
  <si>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</si>
  <si>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</si>
  <si>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</si>
  <si>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</si>
  <si>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</si>
  <si>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</si>
  <si>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</si>
  <si>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</si>
  <si>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</si>
  <si>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</si>
  <si>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</si>
  <si>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</si>
  <si>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</si>
  <si>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</si>
  <si>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</si>
  <si>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</si>
  <si>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</si>
  <si>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</si>
  <si>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</si>
  <si>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</si>
  <si>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</si>
  <si>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</si>
  <si>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</si>
  <si>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</si>
  <si>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</si>
  <si>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</si>
  <si>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</si>
  <si>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</si>
  <si>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</si>
  <si>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</si>
  <si>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</si>
  <si>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</si>
  <si>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</si>
  <si>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</si>
  <si>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</si>
  <si>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</si>
  <si>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</si>
  <si>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</si>
  <si>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</si>
  <si>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</si>
  <si>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</si>
  <si>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</si>
  <si>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</si>
  <si>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</si>
  <si>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</si>
  <si>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</si>
  <si>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</si>
  <si>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</si>
  <si>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</si>
  <si>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</si>
  <si>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</si>
  <si>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</si>
  <si>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</si>
  <si>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</si>
  <si>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</si>
  <si>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</si>
  <si>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</si>
  <si>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</si>
  <si>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</si>
  <si>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</si>
  <si>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</si>
  <si>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</si>
  <si>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</si>
  <si>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</si>
  <si>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</si>
  <si>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</si>
  <si>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</si>
  <si>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</si>
  <si>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</si>
  <si>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</si>
  <si>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</si>
  <si>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</si>
  <si>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</si>
  <si>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</si>
  <si>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</si>
  <si>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</si>
  <si>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</si>
  <si>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</si>
  <si>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</si>
  <si>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</si>
  <si>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</si>
  <si>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</si>
  <si>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</si>
  <si>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</si>
  <si>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</si>
  <si>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</si>
  <si>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</si>
  <si>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</si>
  <si>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</si>
  <si>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</si>
  <si>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</si>
  <si>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</si>
  <si>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</si>
  <si>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</si>
  <si>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</si>
  <si>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</si>
  <si>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</si>
  <si>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</si>
  <si>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</si>
  <si>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</si>
  <si>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</si>
  <si>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</si>
  <si>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</si>
  <si>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</si>
  <si>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</si>
  <si>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</si>
  <si>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</si>
  <si>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</si>
  <si>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</si>
  <si>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</si>
  <si>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</si>
  <si>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</si>
  <si>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</si>
  <si>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</si>
  <si>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</si>
  <si>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</si>
  <si>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</si>
  <si>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</si>
  <si>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</si>
  <si>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</si>
  <si>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</si>
  <si>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</si>
  <si>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</si>
  <si>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</si>
  <si>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</si>
  <si>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</si>
  <si>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</si>
  <si>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</si>
  <si>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</si>
  <si>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</si>
  <si>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</si>
  <si>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</si>
  <si>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</si>
  <si>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</si>
  <si>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</si>
  <si>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</si>
  <si>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</si>
  <si>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</si>
  <si>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</si>
  <si>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</si>
  <si>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</si>
  <si>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</si>
  <si>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</si>
  <si>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</si>
  <si>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</si>
  <si>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</si>
  <si>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</si>
  <si>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</si>
  <si>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</si>
  <si>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</si>
  <si>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</si>
  <si>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</si>
  <si>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</si>
  <si>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</si>
  <si>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</si>
  <si>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</si>
  <si>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</si>
  <si>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name</t>
  </si>
  <si>
    <t>Total</t>
  </si>
  <si>
    <t>Country</t>
  </si>
  <si>
    <t>NZ</t>
  </si>
  <si>
    <t>IND</t>
  </si>
  <si>
    <t>Other</t>
  </si>
  <si>
    <t>total 0f employes</t>
  </si>
  <si>
    <t>average salary</t>
  </si>
  <si>
    <t>average age</t>
  </si>
  <si>
    <t>average tenure</t>
  </si>
  <si>
    <t>Tenure</t>
  </si>
  <si>
    <t>Female count</t>
  </si>
  <si>
    <t>ration%</t>
  </si>
  <si>
    <t>Date</t>
  </si>
  <si>
    <t>Departemen</t>
  </si>
  <si>
    <t>number of people</t>
  </si>
  <si>
    <t>Male vs Female</t>
  </si>
  <si>
    <t>Count of Name</t>
  </si>
  <si>
    <t>Average of Age</t>
  </si>
  <si>
    <t>Values</t>
  </si>
  <si>
    <t>Average of Salary</t>
  </si>
  <si>
    <t>Average of Tenure</t>
  </si>
  <si>
    <t>Columns</t>
  </si>
  <si>
    <t>bonus</t>
  </si>
  <si>
    <t>Median</t>
  </si>
  <si>
    <t>Name of data</t>
  </si>
  <si>
    <t>Nanak sapna</t>
  </si>
  <si>
    <t>Row Labels</t>
  </si>
  <si>
    <t>Grand Total</t>
  </si>
  <si>
    <t>rating of number</t>
  </si>
  <si>
    <t>2020</t>
  </si>
  <si>
    <t>2021</t>
  </si>
  <si>
    <t>2022</t>
  </si>
  <si>
    <t>2023</t>
  </si>
  <si>
    <t>month</t>
  </si>
  <si>
    <t>headcount</t>
  </si>
  <si>
    <t>Running total</t>
  </si>
  <si>
    <t>headcount By Departemen</t>
  </si>
  <si>
    <t>New Zealand</t>
  </si>
  <si>
    <t>India</t>
  </si>
  <si>
    <t>information finder by departemen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</si>
</sst>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Rp&quot;* #,##0_-;\-&quot;Rp&quot;* #,##0_-;_-&quot;Rp&quot;* &quot;-&quot;_-;_-@_-"/>
    <numFmt numFmtId="164" formatCode="_-[$$-409]* #,##0.00_ ;_-[$$-409]* \-#,##0.00\ ;_-[$$-409]* &quot;-&quot;??_ ;_-@_ "/>
    <numFmt numFmtId="165" formatCode="0.0"/>
    <numFmt numFmtId="166" formatCode="_-[$$-409]* #,##0_ ;_-[$$-409]* \-#,##0\ ;_-[$$-409]* &quot;-&quot;??_ ;_-@_ "/>
  </numFmts>
  <fonts count="7" x14ac:knownFonts="1">
    <font>
      <sz val="11"/>
      <color theme="1"/>
      <name val="Calibri"/>
      <family val="2"/>
      <scheme val="minor"/>
    </font>
    <font>
      <sz val="28"/>
      <color theme="1"/>
      <name val="Segoe UI Light"/>
      <family val="2"/>
    </font>
    <font>
      <sz val="11"/>
      <color theme="1"/>
      <name val="Calibri"/>
      <family val="2"/>
      <scheme val="minor"/>
    </font>
    <font>
      <sz val="11"/>
      <color theme="0"/>
      <name val="Calibri"/>
      <family val="2"/>
      <scheme val="minor"/>
    </font>
    <font>
      <sz val="14"/>
      <color theme="0"/>
      <name val="Segoe UI Black"/>
      <family val="2"/>
    </font>
    <font>
      <sz val="14"/>
      <color theme="1"/>
      <name val="Segoe UI Light"/>
      <family val="2"/>
    </font>
    <font>
      <sz val="24"/>
      <color theme="1"/>
      <name val="Segoe UI Light"/>
      <family val="2"/>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42" fontId="2" fillId="0" borderId="0" applyFont="0" applyFill="0" applyBorder="0" applyAlignment="0" applyProtection="0"/>
  </cellStyleXfs>
  <cellXfs count="5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0" fontId="0" fillId="4" borderId="0" xfId="0" applyFill="1"/>
    <xf numFmtId="164" fontId="0" fillId="3" borderId="0" xfId="1" applyNumberFormat="1" applyFont="1" applyFill="1"/>
    <xf numFmtId="164" fontId="3" fillId="0" borderId="0" xfId="1" applyNumberFormat="1" applyFont="1"/>
    <xf numFmtId="164" fontId="0" fillId="0" borderId="0" xfId="1" applyNumberFormat="1" applyFont="1"/>
    <xf numFmtId="15" fontId="0" fillId="3" borderId="0" xfId="0" applyNumberFormat="1" applyFill="1"/>
    <xf numFmtId="0" fontId="0" fillId="0" borderId="0" xfId="0" applyNumberFormat="1"/>
    <xf numFmtId="164" fontId="0" fillId="0" borderId="0" xfId="0" applyNumberFormat="1"/>
    <xf numFmtId="14" fontId="0" fillId="0" borderId="0" xfId="0" applyNumberFormat="1"/>
    <xf numFmtId="2" fontId="0" fillId="0" borderId="0" xfId="0" applyNumberFormat="1"/>
    <xf numFmtId="1" fontId="0" fillId="0" borderId="0" xfId="0" applyNumberFormat="1"/>
    <xf numFmtId="9" fontId="0" fillId="0" borderId="0" xfId="0" applyNumberFormat="1"/>
    <xf numFmtId="165" fontId="0" fillId="0" borderId="0" xfId="0" applyNumberFormat="1"/>
    <xf numFmtId="0" fontId="0" fillId="0" borderId="0" xfId="0"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164" fontId="0" fillId="0" borderId="1" xfId="0" applyNumberFormat="1" applyBorder="1" applyAlignment="1">
      <alignment horizontal="left"/>
    </xf>
    <xf numFmtId="165" fontId="0" fillId="0" borderId="1" xfId="0" applyNumberFormat="1" applyBorder="1" applyAlignment="1">
      <alignment horizontal="left"/>
    </xf>
    <xf numFmtId="0" fontId="0" fillId="4" borderId="0" xfId="0" applyFill="1" applyAlignment="1">
      <alignment horizontal="center"/>
    </xf>
    <xf numFmtId="0" fontId="0" fillId="5" borderId="0" xfId="0" applyFill="1"/>
    <xf numFmtId="164" fontId="0" fillId="0" borderId="1" xfId="0" applyNumberFormat="1" applyBorder="1"/>
    <xf numFmtId="0" fontId="0" fillId="0" borderId="0" xfId="0" pivotButton="1"/>
    <xf numFmtId="0" fontId="0" fillId="0" borderId="1" xfId="0" applyNumberFormat="1" applyBorder="1"/>
    <xf numFmtId="165" fontId="0" fillId="0" borderId="1" xfId="0" applyNumberFormat="1" applyBorder="1"/>
    <xf numFmtId="2" fontId="0" fillId="0" borderId="1" xfId="0" applyNumberFormat="1" applyBorder="1"/>
    <xf numFmtId="0" fontId="0" fillId="5" borderId="1" xfId="0" applyFill="1" applyBorder="1"/>
    <xf numFmtId="0" fontId="0" fillId="6" borderId="0" xfId="0" applyFill="1"/>
    <xf numFmtId="0" fontId="0" fillId="6" borderId="1" xfId="0" applyFill="1" applyBorder="1"/>
    <xf numFmtId="166" fontId="0" fillId="0" borderId="0" xfId="0" applyNumberFormat="1"/>
    <xf numFmtId="0" fontId="0" fillId="0" borderId="1" xfId="0" applyBorder="1"/>
    <xf numFmtId="0" fontId="0" fillId="0" borderId="0" xfId="0" applyAlignment="1">
      <alignment horizontal="right"/>
    </xf>
    <xf numFmtId="0" fontId="0" fillId="0" borderId="0" xfId="0"/>
    <xf numFmtId="17"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Border="1"/>
    <xf numFmtId="0" fontId="0" fillId="0" borderId="7" xfId="0" applyBorder="1"/>
    <xf numFmtId="0" fontId="0" fillId="0" borderId="8" xfId="0" applyBorder="1"/>
    <xf numFmtId="0" fontId="0" fillId="0" borderId="2" xfId="0" applyBorder="1"/>
    <xf numFmtId="0" fontId="0" fillId="0" borderId="9" xfId="0" applyBorder="1"/>
    <xf numFmtId="166" fontId="4" fillId="7" borderId="0" xfId="0" applyNumberFormat="1" applyFont="1" applyFill="1" applyAlignment="1">
      <alignment horizontal="center" vertical="center"/>
    </xf>
    <xf numFmtId="9" fontId="4" fillId="7" borderId="0" xfId="0" applyNumberFormat="1" applyFont="1" applyFill="1" applyAlignment="1">
      <alignment horizontal="center" vertical="center"/>
    </xf>
    <xf numFmtId="0" fontId="4" fillId="7" borderId="0" xfId="0" applyFont="1" applyFill="1" applyAlignment="1">
      <alignment horizontal="center" vertical="center"/>
    </xf>
    <xf numFmtId="0" fontId="4" fillId="4" borderId="0" xfId="0" applyFont="1" applyFill="1" applyAlignment="1">
      <alignment horizontal="center" vertical="center"/>
    </xf>
    <xf numFmtId="9" fontId="4" fillId="4" borderId="0" xfId="0" applyNumberFormat="1" applyFont="1" applyFill="1" applyAlignment="1">
      <alignment horizontal="center" vertical="center"/>
    </xf>
    <xf numFmtId="166" fontId="4" fillId="4" borderId="0" xfId="0" applyNumberFormat="1" applyFont="1" applyFill="1" applyAlignment="1">
      <alignment horizontal="center" vertical="center"/>
    </xf>
    <xf numFmtId="0" fontId="5" fillId="3" borderId="0" xfId="0" applyFont="1" applyFill="1" applyAlignment="1">
      <alignment horizontal="center" vertical="center"/>
    </xf>
    <xf numFmtId="0" fontId="6" fillId="0" borderId="0" xfId="0" applyFont="1" applyAlignment="1">
      <alignment horizontal="center" vertical="center"/>
    </xf>
    <xf numFmtId="17" fontId="0" fillId="0" borderId="1" xfId="0" applyNumberFormat="1" applyBorder="1"/>
    <xf numFmtId="0" fontId="0" fillId="4" borderId="1" xfId="0" applyFill="1" applyBorder="1"/>
    <xf numFmtId="17" fontId="0" fillId="4" borderId="1" xfId="0" applyNumberFormat="1" applyFill="1" applyBorder="1"/>
    <xf numFmtId="0" fontId="0" fillId="0" borderId="1" xfId="0" pivotButton="1" applyBorder="1"/>
    <xf numFmtId="0" fontId="0" fillId="5" borderId="2" xfId="0" applyFill="1" applyBorder="1" applyAlignment="1">
      <alignment horizontal="center"/>
    </xf>
  </cellXfs>
  <cellStyles count="2">
    <cellStyle name="Currency [0]" xfId="1" builtinId="7"/>
    <cellStyle name="Normal" xfId="0" builtinId="0"/>
  </cellStyles>
  <dxfs count="224">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164" formatCode="_-[$$-409]* #,##0.00_ ;_-[$$-409]* \-#,##0.00\ ;_-[$$-409]* &quot;-&quot;??_ ;_-@_ "/>
    </dxf>
    <dxf>
      <numFmt numFmtId="164" formatCode="_-[$$-409]* #,##0.00_ ;_-[$$-409]* \-#,##0.00\ ;_-[$$-409]* &quot;-&quot;??_ ;_-@_ "/>
    </dxf>
    <dxf>
      <numFmt numFmtId="165" formatCode="0.0"/>
    </dxf>
    <dxf>
      <numFmt numFmtId="2" formatCode="0.00"/>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rgb="FF9C0006"/>
      </font>
      <fill>
        <patternFill>
          <bgColor rgb="FFFFC7CE"/>
        </patternFill>
      </fill>
    </dxf>
    <dxf>
      <numFmt numFmtId="166" formatCode="_-[$$-409]* #,##0_ ;_-[$$-409]* \-#,##0\ ;_-[$$-409]* &quot;-&quot;??_ ;_-@_ "/>
    </dxf>
    <dxf>
      <numFmt numFmtId="164" formatCode="_-[$$-409]* #,##0.00_ ;_-[$$-409]* \-#,##0.00\ ;_-[$$-409]* &quot;-&quot;??_ ;_-@_ "/>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_-[$$-409]* #,##0.00_ ;_-[$$-409]* \-#,##0.00\ ;_-[$$-409]* &quot;-&quot;??_ ;_-@_ "/>
    </dxf>
    <dxf>
      <numFmt numFmtId="2" formatCode="0.00"/>
    </dxf>
    <dxf>
      <numFmt numFmtId="165" formatCode="0.0"/>
    </dxf>
    <dxf>
      <numFmt numFmtId="164" formatCode="_-[$$-409]* #,##0.00_ ;_-[$$-409]* \-#,##0.00\ ;_-[$$-409]* &quot;-&quot;??_ ;_-@_ "/>
    </dxf>
    <dxf>
      <numFmt numFmtId="164" formatCode="_-[$$-409]* #,##0.00_ ;_-[$$-409]* \-#,##0.00\ ;_-[$$-409]* &quot;-&quot;??_ ;_-@_ "/>
    </dxf>
    <dxf>
      <numFmt numFmtId="164" formatCode="_-[$$-409]* #,##0.00_ ;_-[$$-409]* \-#,##0.00\ ;_-[$$-409]* &quot;-&quot;??_ ;_-@_ "/>
    </dxf>
    <dxf>
      <numFmt numFmtId="0" formatCode="General"/>
    </dxf>
    <dxf>
      <numFmt numFmtId="164" formatCode="_-[$$-409]* #,##0.00_ ;_-[$$-409]* \-#,##0.00\ ;_-[$$-409]* &quot;-&quot;??_ ;_-@_ "/>
    </dxf>
    <dxf>
      <numFmt numFmtId="1" formatCode="0"/>
    </dxf>
    <dxf>
      <numFmt numFmtId="0" formatCode="General"/>
    </dxf>
    <dxf>
      <numFmt numFmtId="164" formatCode="_-[$$-409]* #,##0.00_ ;_-[$$-409]* \-#,##0.00\ ;_-[$$-409]* &quot;-&quot;??_ ;_-@_ "/>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20" formatCode="dd\-mmm\-yy"/>
    </dxf>
    <dxf>
      <fill>
        <patternFill patternType="solid">
          <fgColor indexed="64"/>
          <bgColor theme="5"/>
        </patternFill>
      </fill>
    </dxf>
    <dxf>
      <numFmt numFmtId="164" formatCode="_-[$$-409]* #,##0.00_ ;_-[$$-409]* \-#,##0.00\ ;_-[$$-409]* &quot;-&quot;??_ ;_-@_ "/>
    </dxf>
    <dxf>
      <numFmt numFmtId="164" formatCode="_-[$$-409]* #,##0.00_ ;_-[$$-409]* \-#,##0.00\ ;_-[$$-409]* &quot;-&quot;??_ ;_-@_ "/>
    </dxf>
    <dxf>
      <numFmt numFmtId="20" formatCode="dd\-mmm\-yy"/>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Salary</a:t>
            </a:r>
            <a:r>
              <a:rPr lang="en-ID" baseline="0"/>
              <a:t> vs rating</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staff!$K$1</c:f>
              <c:strCache>
                <c:ptCount val="1"/>
                <c:pt idx="0">
                  <c:v>rating of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staff!$G$2:$G$184</c:f>
              <c:numCache>
                <c:formatCode>_-[$$-409]* #,##0.00_ ;_-[$$-409]* \-#,##0.00\ ;_-[$$-409]* "-"??_ ;_-@_ </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9FF8-4B7C-A95E-88F35F088F16}"/>
            </c:ext>
          </c:extLst>
        </c:ser>
        <c:dLbls>
          <c:showLegendKey val="0"/>
          <c:showVal val="0"/>
          <c:showCatName val="0"/>
          <c:showSerName val="0"/>
          <c:showPercent val="0"/>
          <c:showBubbleSize val="0"/>
        </c:dLbls>
        <c:axId val="1866740623"/>
        <c:axId val="1866741583"/>
      </c:scatterChart>
      <c:valAx>
        <c:axId val="1866740623"/>
        <c:scaling>
          <c:orientation val="minMax"/>
        </c:scaling>
        <c:delete val="0"/>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741583"/>
        <c:crosses val="autoZero"/>
        <c:crossBetween val="midCat"/>
      </c:valAx>
      <c:valAx>
        <c:axId val="1866741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740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[blank-data-file.xlsx]Salary vs rating!PivotTable2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025371828521434E-2"/>
          <c:y val="0.23448636628754743"/>
          <c:w val="0.8666964129483814"/>
          <c:h val="0.53774387576552929"/>
        </c:manualLayout>
      </c:layout>
      <c:lineChart>
        <c:grouping val="standard"/>
        <c:varyColors val="0"/>
        <c:ser>
          <c:idx val="0"/>
          <c:order val="0"/>
          <c:tx>
            <c:strRef>
              <c:f>'Salary vs rating'!$C$17</c:f>
              <c:strCache>
                <c:ptCount val="1"/>
                <c:pt idx="0">
                  <c:v>Total</c:v>
                </c:pt>
              </c:strCache>
            </c:strRef>
          </c:tx>
          <c:spPr>
            <a:ln w="28575" cap="rnd">
              <a:solidFill>
                <a:schemeClr val="accent1"/>
              </a:solidFill>
              <a:round/>
            </a:ln>
            <a:effectLst/>
          </c:spPr>
          <c:marker>
            <c:symbol val="none"/>
          </c:marker>
          <c:cat>
            <c:strRef>
              <c:f>'Salary vs rating'!$B$18:$B$22</c:f>
              <c:strCache>
                <c:ptCount val="4"/>
                <c:pt idx="0">
                  <c:v>2020</c:v>
                </c:pt>
                <c:pt idx="1">
                  <c:v>2021</c:v>
                </c:pt>
                <c:pt idx="2">
                  <c:v>2022</c:v>
                </c:pt>
                <c:pt idx="3">
                  <c:v>2023</c:v>
                </c:pt>
              </c:strCache>
            </c:strRef>
          </c:cat>
          <c:val>
            <c:numRef>
              <c:f>'Salary vs rating'!$C$18:$C$22</c:f>
              <c:numCache>
                <c:formatCode>General</c:formatCode>
                <c:ptCount val="4"/>
                <c:pt idx="0">
                  <c:v>#N/A</c:v>
                </c:pt>
                <c:pt idx="1">
                  <c:v>#N/A</c:v>
                </c:pt>
                <c:pt idx="2">
                  <c:v>#N/A</c:v>
                </c:pt>
                <c:pt idx="3">
                  <c:v>#N/A</c:v>
                </c:pt>
              </c:numCache>
            </c:numRef>
          </c:val>
          <c:smooth val="0"/>
          <c:extLst>
            <c:ext xmlns:c16="http://schemas.microsoft.com/office/drawing/2014/chart" uri="{C3380CC4-5D6E-409C-BE32-E72D297353CC}">
              <c16:uniqueId val="{00000000-176C-45AD-BF5E-47CB8F8714F7}"/>
            </c:ext>
          </c:extLst>
        </c:ser>
        <c:dLbls>
          <c:showLegendKey val="0"/>
          <c:showVal val="0"/>
          <c:showCatName val="0"/>
          <c:showSerName val="0"/>
          <c:showPercent val="0"/>
          <c:showBubbleSize val="0"/>
        </c:dLbls>
        <c:smooth val="0"/>
        <c:axId val="1878985679"/>
        <c:axId val="1878988559"/>
      </c:lineChart>
      <c:catAx>
        <c:axId val="187898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988559"/>
        <c:crosses val="autoZero"/>
        <c:auto val="1"/>
        <c:lblAlgn val="ctr"/>
        <c:lblOffset val="100"/>
        <c:noMultiLvlLbl val="0"/>
      </c:catAx>
      <c:valAx>
        <c:axId val="1878988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985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'Salary vs rating'!$N$2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'Salary vs rating'!$L$3:$L$166</c:f>
              <c:numCache>
                <c:formatCode>mmm\-yy</c:formatCode>
                <c:ptCount val="164"/>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'Salary vs rating'!$N$3:$N$166</c:f>
              <c:numCache>
                <c:formatCode>General</c:formatCode>
                <c:ptCount val="164"/>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441E-4F6E-B084-9403FF0461E0}"/>
            </c:ext>
          </c:extLst>
        </c:ser>
        <c:dLbls>
          <c:showLegendKey val="0"/>
          <c:showVal val="0"/>
          <c:showCatName val="0"/>
          <c:showSerName val="0"/>
          <c:showPercent val="0"/>
          <c:showBubbleSize val="0"/>
        </c:dLbls>
        <c:marker val="1"/>
        <c:smooth val="0"/>
        <c:axId val="1095338479"/>
        <c:axId val="1095336079"/>
      </c:lineChart>
      <c:dateAx>
        <c:axId val="1095338479"/>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336079"/>
        <c:crosses val="autoZero"/>
        <c:auto val="1"/>
        <c:lblOffset val="100"/>
        <c:baseTimeUnit val="months"/>
      </c:dateAx>
      <c:valAx>
        <c:axId val="1095336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33847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[blank-data-file.xlsx]headcount by departemen!PivotTable1</c:name>
    <c:fmtId val="1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'headcount by departemen'!$Q$5</c:f>
              <c:strCache>
                <c:ptCount val="1"/>
                <c:pt idx="0">
                  <c:v>Total</c:v>
                </c:pt>
              </c:strCache>
            </c:strRef>
          </c:tx>
          <c:spPr>
            <a:solidFill>
              <a:schemeClr val="accent2"/>
            </a:solidFill>
            <a:ln>
              <a:noFill/>
            </a:ln>
            <a:effectLst/>
          </c:spPr>
          <c:invertIfNegative val="0"/>
          <c:cat>
            <c:strRef>
              <c:f>'headcount by departemen'!$P$6:$P$11</c:f>
              <c:strCache>
                <c:ptCount val="5"/>
                <c:pt idx="0">
                  <c:v>Procurement</c:v>
                </c:pt>
                <c:pt idx="1">
                  <c:v>Website</c:v>
                </c:pt>
                <c:pt idx="2">
                  <c:v>Finance</c:v>
                </c:pt>
                <c:pt idx="3">
                  <c:v>Sales</c:v>
                </c:pt>
                <c:pt idx="4">
                  <c:v>HR</c:v>
                </c:pt>
              </c:strCache>
            </c:strRef>
          </c:cat>
          <c:val>
            <c:numRef>
              <c:f>'headcount by departemen'!$Q$6:$Q$11</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753C-4449-8803-421C65949455}"/>
            </c:ext>
          </c:extLst>
        </c:ser>
        <c:dLbls>
          <c:showLegendKey val="0"/>
          <c:showVal val="0"/>
          <c:showCatName val="0"/>
          <c:showSerName val="0"/>
          <c:showPercent val="0"/>
          <c:showBubbleSize val="0"/>
        </c:dLbls>
        <c:gapWidth val="50"/>
        <c:axId val="1359678703"/>
        <c:axId val="1359679183"/>
      </c:barChart>
      <c:catAx>
        <c:axId val="135967870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679183"/>
        <c:crosses val="autoZero"/>
        <c:auto val="1"/>
        <c:lblAlgn val="ctr"/>
        <c:lblOffset val="100"/>
        <c:noMultiLvlLbl val="0"/>
      </c:catAx>
      <c:valAx>
        <c:axId val="135967918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678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[blank-data-file.xlsx]headcount by departemen!PivotTable2</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'headcount by departemen'!$T$5</c:f>
              <c:strCache>
                <c:ptCount val="1"/>
                <c:pt idx="0">
                  <c:v>Total</c:v>
                </c:pt>
              </c:strCache>
            </c:strRef>
          </c:tx>
          <c:spPr>
            <a:solidFill>
              <a:schemeClr val="accent1"/>
            </a:solidFill>
            <a:ln>
              <a:noFill/>
            </a:ln>
            <a:effectLst/>
          </c:spPr>
          <c:invertIfNegative val="0"/>
          <c:cat>
            <c:strRef>
              <c:f>'headcount by departemen'!$S$6:$S$11</c:f>
              <c:strCache>
                <c:ptCount val="5"/>
                <c:pt idx="0">
                  <c:v>Website</c:v>
                </c:pt>
                <c:pt idx="1">
                  <c:v>Procurement</c:v>
                </c:pt>
                <c:pt idx="2">
                  <c:v>Finance</c:v>
                </c:pt>
                <c:pt idx="3">
                  <c:v>Sales</c:v>
                </c:pt>
                <c:pt idx="4">
                  <c:v>HR</c:v>
                </c:pt>
              </c:strCache>
            </c:strRef>
          </c:cat>
          <c:val>
            <c:numRef>
              <c:f>'headcount by departemen'!$T$6:$T$11</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0C7A-429A-B96A-64302ED55C23}"/>
            </c:ext>
          </c:extLst>
        </c:ser>
        <c:dLbls>
          <c:showLegendKey val="0"/>
          <c:showVal val="0"/>
          <c:showCatName val="0"/>
          <c:showSerName val="0"/>
          <c:showPercent val="0"/>
          <c:showBubbleSize val="0"/>
        </c:dLbls>
        <c:gapWidth val="50"/>
        <c:axId val="1359680143"/>
        <c:axId val="1359690223"/>
      </c:barChart>
      <c:catAx>
        <c:axId val="13596801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690223"/>
        <c:crosses val="autoZero"/>
        <c:auto val="1"/>
        <c:lblAlgn val="ctr"/>
        <c:lblOffset val="100"/>
        <c:noMultiLvlLbl val="0"/>
      </c:catAx>
      <c:valAx>
        <c:axId val="135969022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68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B4F96051-3B42-4B38-BCB2-D67932614C77}">
          <cx:tx>
            <cx:txData>
              <cx:f>_xlchart.v1.1</cx:f>
              <cx:v> Salary </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 plot</a:t>
          </a:r>
        </a:p>
      </cx:txPr>
    </cx:title>
    <cx:plotArea>
      <cx:plotAreaRegion>
        <cx:series layoutId="boxWhisker" uniqueId="{2075549F-9603-4B26-B0CF-504721BB90C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819150</xdr:colOff>
      <xdr:row>15</xdr:row>
      <xdr:rowOff>95250</xdr:rowOff>
    </xdr:from>
    <xdr:to>
      <xdr:col>15</xdr:col>
      <xdr:colOff>9524</xdr:colOff>
      <xdr:row>17</xdr:row>
      <xdr:rowOff>0</xdr:rowOff>
    </xdr:to>
    <xdr:sp macro="" textlink="">
      <xdr:nvSpPr>
        <xdr:cNvPr id="2" name="TextBox 1">
          <a:extLst>
            <a:ext uri="{FF2B5EF4-FFF2-40B4-BE49-F238E27FC236}">
              <a16:creationId xmlns:a16="http://schemas.microsoft.com/office/drawing/2014/main" id="{1C41A72D-1FD6-A649-0FD1-517D8A311033}"/>
            </a:ext>
          </a:extLst>
        </xdr:cNvPr>
        <xdr:cNvSpPr txBox="1"/>
      </xdr:nvSpPr>
      <xdr:spPr>
        <a:xfrm>
          <a:off x="11753850" y="2952750"/>
          <a:ext cx="2133599"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a:t>Search for people by name</a:t>
          </a:r>
          <a:endParaRPr lang="en-ID"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1162050</xdr:colOff>
      <xdr:row>16</xdr:row>
      <xdr:rowOff>0</xdr:rowOff>
    </xdr:from>
    <xdr:to>
      <xdr:col>4</xdr:col>
      <xdr:colOff>733425</xdr:colOff>
      <xdr:row>20</xdr:row>
      <xdr:rowOff>161925</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3B7B5E2C-DAA7-B18E-61E5-83A695419D2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381250" y="3048000"/>
              <a:ext cx="1828800" cy="92392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1143000</xdr:colOff>
      <xdr:row>0</xdr:row>
      <xdr:rowOff>0</xdr:rowOff>
    </xdr:from>
    <xdr:to>
      <xdr:col>8</xdr:col>
      <xdr:colOff>28575</xdr:colOff>
      <xdr:row>15</xdr:row>
      <xdr:rowOff>142875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4B861BA-A5E4-46A9-8C48-3C3B8D5EE6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62200" y="0"/>
              <a:ext cx="4572000" cy="3000375"/>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38100</xdr:colOff>
      <xdr:row>0</xdr:row>
      <xdr:rowOff>0</xdr:rowOff>
    </xdr:from>
    <xdr:to>
      <xdr:col>10</xdr:col>
      <xdr:colOff>219075</xdr:colOff>
      <xdr:row>22</xdr:row>
      <xdr:rowOff>9524</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21F67C9-00C5-4FFF-B6A9-0509CF7B72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943725" y="0"/>
              <a:ext cx="2781300" cy="4200524"/>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110120</xdr:colOff>
      <xdr:row>34</xdr:row>
      <xdr:rowOff>55059</xdr:rowOff>
    </xdr:from>
    <xdr:to>
      <xdr:col>8</xdr:col>
      <xdr:colOff>1873871</xdr:colOff>
      <xdr:row>48</xdr:row>
      <xdr:rowOff>131259</xdr:rowOff>
    </xdr:to>
    <xdr:graphicFrame macro="">
      <xdr:nvGraphicFramePr>
        <xdr:cNvPr id="2" name="Chart 1">
          <a:extLst>
            <a:ext uri="{FF2B5EF4-FFF2-40B4-BE49-F238E27FC236}">
              <a16:creationId xmlns:a16="http://schemas.microsoft.com/office/drawing/2014/main" id="{A84047A1-E37B-431A-91B1-0D0E03972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120106</xdr:colOff>
      <xdr:row>15</xdr:row>
      <xdr:rowOff>545828</xdr:rowOff>
    </xdr:from>
    <xdr:to>
      <xdr:col>8</xdr:col>
      <xdr:colOff>1898957</xdr:colOff>
      <xdr:row>32</xdr:row>
      <xdr:rowOff>59820</xdr:rowOff>
    </xdr:to>
    <xdr:graphicFrame macro="">
      <xdr:nvGraphicFramePr>
        <xdr:cNvPr id="3" name="Chart 2">
          <a:extLst>
            <a:ext uri="{FF2B5EF4-FFF2-40B4-BE49-F238E27FC236}">
              <a16:creationId xmlns:a16="http://schemas.microsoft.com/office/drawing/2014/main" id="{6C702347-E2A7-DED1-A8BC-4C7F8288A2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154027</xdr:colOff>
      <xdr:row>0</xdr:row>
      <xdr:rowOff>151008</xdr:rowOff>
    </xdr:from>
    <xdr:to>
      <xdr:col>8</xdr:col>
      <xdr:colOff>1893384</xdr:colOff>
      <xdr:row>15</xdr:row>
      <xdr:rowOff>1</xdr:rowOff>
    </xdr:to>
    <xdr:graphicFrame macro="">
      <xdr:nvGraphicFramePr>
        <xdr:cNvPr id="4" name="Chart 3">
          <a:extLst>
            <a:ext uri="{FF2B5EF4-FFF2-40B4-BE49-F238E27FC236}">
              <a16:creationId xmlns:a16="http://schemas.microsoft.com/office/drawing/2014/main" id="{B2F4C18F-99F8-2654-2F3F-FDA7B08E65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2</xdr:row>
      <xdr:rowOff>295274</xdr:rowOff>
    </xdr:from>
    <xdr:to>
      <xdr:col>13</xdr:col>
      <xdr:colOff>1</xdr:colOff>
      <xdr:row>18</xdr:row>
      <xdr:rowOff>123825</xdr:rowOff>
    </xdr:to>
    <xdr:graphicFrame macro="">
      <xdr:nvGraphicFramePr>
        <xdr:cNvPr id="2" name="Chart 1">
          <a:extLst>
            <a:ext uri="{FF2B5EF4-FFF2-40B4-BE49-F238E27FC236}">
              <a16:creationId xmlns:a16="http://schemas.microsoft.com/office/drawing/2014/main" id="{26DA7FA1-CBE8-428A-8187-EE46194E3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xdr:row>
      <xdr:rowOff>304799</xdr:rowOff>
    </xdr:from>
    <xdr:to>
      <xdr:col>6</xdr:col>
      <xdr:colOff>0</xdr:colOff>
      <xdr:row>18</xdr:row>
      <xdr:rowOff>123824</xdr:rowOff>
    </xdr:to>
    <xdr:graphicFrame macro="">
      <xdr:nvGraphicFramePr>
        <xdr:cNvPr id="3" name="Chart 2">
          <a:extLst>
            <a:ext uri="{FF2B5EF4-FFF2-40B4-BE49-F238E27FC236}">
              <a16:creationId xmlns:a16="http://schemas.microsoft.com/office/drawing/2014/main" id="{A6A06016-C4B1-454D-9623-A4B965C0C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552450</xdr:colOff>
      <xdr:row>3</xdr:row>
      <xdr:rowOff>9525</xdr:rowOff>
    </xdr:from>
    <xdr:to>
      <xdr:col>6</xdr:col>
      <xdr:colOff>561975</xdr:colOff>
      <xdr:row>18</xdr:row>
      <xdr:rowOff>133350</xdr:rowOff>
    </xdr:to>
    <xdr:cxnSp macro="">
      <xdr:nvCxnSpPr>
        <xdr:cNvPr id="5" name="Straight Connector 4">
          <a:extLst>
            <a:ext uri="{FF2B5EF4-FFF2-40B4-BE49-F238E27FC236}">
              <a16:creationId xmlns:a16="http://schemas.microsoft.com/office/drawing/2014/main" id="{37FC0F05-1597-2AB7-4A80-B83EFE36F6FB}"/>
            </a:ext>
          </a:extLst>
        </xdr:cNvPr>
        <xdr:cNvCxnSpPr/>
      </xdr:nvCxnSpPr>
      <xdr:spPr>
        <a:xfrm>
          <a:off x="4314825" y="1847850"/>
          <a:ext cx="9525" cy="2981325"/>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0</xdr:row>
      <xdr:rowOff>228600</xdr:rowOff>
    </xdr:from>
    <xdr:to>
      <xdr:col>6</xdr:col>
      <xdr:colOff>561975</xdr:colOff>
      <xdr:row>1</xdr:row>
      <xdr:rowOff>857250</xdr:rowOff>
    </xdr:to>
    <xdr:cxnSp macro="">
      <xdr:nvCxnSpPr>
        <xdr:cNvPr id="8" name="Straight Connector 7">
          <a:extLst>
            <a:ext uri="{FF2B5EF4-FFF2-40B4-BE49-F238E27FC236}">
              <a16:creationId xmlns:a16="http://schemas.microsoft.com/office/drawing/2014/main" id="{038C44F5-DE35-47EF-59EC-AF3FE2FAB47E}"/>
            </a:ext>
          </a:extLst>
        </xdr:cNvPr>
        <xdr:cNvCxnSpPr/>
      </xdr:nvCxnSpPr>
      <xdr:spPr>
        <a:xfrm flipV="1">
          <a:off x="4324350" y="228600"/>
          <a:ext cx="0" cy="1295400"/>
        </a:xfrm>
        <a:prstGeom prst="line">
          <a:avLst/>
        </a:prstGeom>
        <a:ln>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hriza" refreshedDate="45954.405150231483" createdVersion="8" refreshedVersion="8" minRefreshableVersion="3" recordCount="183" xr:uid="{1BED99DA-5448-424E-AD3E-ED6937568052}">
  <cacheSource type="worksheet">
    <worksheetSource name="staff"/>
  </cacheSource>
  <cacheFields count="12">
    <cacheField name="Name" numFmtId="0">
      <sharedItems count="183">
        <s v="Deepali Charan"/>
        <s v="Yagna Sujeev"/>
        <s v="Satyendra Venkatadri"/>
        <s v="Madhavdas Buhpathi"/>
        <s v="Sahila Chandrasekhar"/>
        <s v="Mirium Seemantini Shivakumar"/>
        <s v="Purnendu Vijayarangan"/>
        <s v="Rukma Vinita"/>
        <s v="Yauvani Tarpa"/>
        <s v="Damayanti Thangavadivelu"/>
        <s v="Manjusri Ruchi"/>
        <s v="Mithil Nadkarni"/>
        <s v="Ardhendu Abhichandra Jayakar"/>
        <s v="Akbar Sorabhjee"/>
        <s v="Bandhula Sathyanna"/>
        <s v="Daruka Ghazali"/>
        <s v="Heer Pennathur"/>
        <s v="Shekhar Eswara"/>
        <s v="Udyan Lanka"/>
        <s v="Shreela Ramasubraman"/>
        <s v="Sanchali Shirish"/>
        <s v="Gangadutt Ragha"/>
        <s v="Waheeda Vasuman"/>
        <s v="Nanak Sapna"/>
        <s v="Shobhana Samuel"/>
        <s v="Amlankusum Rajabhushan"/>
        <s v="Pratigya Rema"/>
        <s v="Ramnath Ravuri"/>
        <s v="Prerana Nishita"/>
        <s v="Makshi Vinutha"/>
        <s v="Shiuli Sapna"/>
        <s v="Agrata Rajarama"/>
        <s v="Vasu Nandin"/>
        <s v="Bhuvan Pals"/>
        <s v="Gumwant Veera"/>
        <s v="Narois Motiwala"/>
        <s v="Anjushri Chandiramani"/>
        <s v="Krishnakanta Vellanki"/>
        <s v="Dhruv Manjunath"/>
        <s v="Vanmala Shriharsha"/>
        <s v="Sameer Shashank Sapra"/>
        <s v="Anumati Shyamari Meherhomji"/>
        <s v="Tarala Vishaal"/>
        <s v="Shubhra Potla"/>
        <s v="Hemavati Muthiah"/>
        <s v="Krittika Gaekwad"/>
        <s v="Shevantilal Muppala"/>
        <s v="Shattesh Utpat"/>
        <s v="Kamalakshi Mukundan"/>
        <s v="Chandana Sannidhi Surnilla"/>
        <s v="Indu Varada Sumedh"/>
        <s v="Karuna Pashupathy"/>
        <s v="Mardav Ramaswami"/>
        <s v="Sarayu Ragunathan"/>
        <s v="Kevalkumar Solanki"/>
        <s v="Upendra Swati"/>
        <s v="Deepit Ranjana"/>
        <s v="Amal Nimesh"/>
        <s v="Kunja Prashanta Vibha"/>
        <s v="Godavari Veena"/>
        <s v="Devasree Fullara Saurin"/>
        <s v="Geena Raghavanpillai"/>
        <s v="Rupak Mehra"/>
        <s v="Sawini Chandan"/>
        <s v="Baruna Ogale"/>
        <s v="Jagajeet Viraj"/>
        <s v="Kulbhushan Moorthy"/>
        <s v="Ilesh Dasgupta"/>
        <s v="Madhumati Gazala Soumitra"/>
        <s v="Chitrasen Laul"/>
        <s v="Jaishree Atasi Yavatkar"/>
        <s v="Kantimoy Pritish"/>
        <s v="Rameshwari Chikodi"/>
        <s v="Lalit Kothari"/>
        <s v="Sahas Sanabhi Shrikant"/>
        <s v="Kaishori Harathi Kateel"/>
        <s v="Rushil Kripa"/>
        <s v="Sarojini Naueshwara"/>
        <s v="Sartaj Probal"/>
        <s v="Mahindra Sreedharan"/>
        <s v="Suchira Bhanupriya Tapti"/>
        <s v="Fullara Sushanti Mokate"/>
        <s v="Hridaynath Tendulkar"/>
        <s v="Abhaya Priyavardhan"/>
        <s v="Ayog Chakrabarti"/>
        <s v="Pragya Nilufar"/>
        <s v="Shulabh Qutub Sundaramoorthy"/>
        <s v="Vinanti Choudhari"/>
        <s v="Ranajay Kailashnath Richa"/>
        <s v="Asija Pothireddy"/>
        <s v="Piyali Mahanthapa"/>
        <s v="Sukhdev Nageshwar"/>
        <s v="Lindy Guillet"/>
        <s v="Ambros Murthwaite"/>
        <s v="Tatum Hush"/>
        <s v="Benny Karolovsky"/>
        <s v="Hoyt D'Alesco"/>
        <s v="Halimeda Kuscha"/>
        <s v="Erin Androsik"/>
        <s v="Vic Radolf"/>
        <s v="William Reeveley"/>
        <s v="Ewart Laphorn"/>
        <s v="Bev Lashley"/>
        <s v="Kath Bletsoe"/>
        <s v="Murry Dryburgh"/>
        <s v="Kaine Padly"/>
        <s v="Kassi Jonson"/>
        <s v="Simon Kembery"/>
        <s v="Orton Livick"/>
        <s v="Kelci Walkden"/>
        <s v="Dotty Strutley"/>
        <s v="Shari McNee"/>
        <s v="Oby Sorrel"/>
        <s v="Husein Augar"/>
        <s v="Brien Boise"/>
        <s v="Esmaria Denecamp"/>
        <s v="Curtice Advani"/>
        <s v="Barr Faughny"/>
        <s v="Merrilee Plenty"/>
        <s v="Niall Selesnick"/>
        <s v="Beverie Moffet"/>
        <s v="Jehu Rudeforth"/>
        <s v="Camilla Castle"/>
        <s v="Roddy Speechley"/>
        <s v="Gray Seamon"/>
        <s v="Madelene Upcott"/>
        <s v="Violante Courtonne"/>
        <s v="Bernie Gorges"/>
        <s v="Torrance Collier"/>
        <s v="Dyna Doucette"/>
        <s v="Gunar Cockshoot"/>
        <s v="Kaye Crocroft"/>
        <s v="Allene Gobbet"/>
        <s v="Sibyl Dunkirk"/>
        <s v="Agnes Collicott"/>
        <s v="Leilah Yesinin"/>
        <s v="Mollie Hanway"/>
        <s v="Kellsie Waby"/>
        <s v="Hyacinthie Braybrooke"/>
        <s v="Van Tuxwell"/>
        <s v="Lilyan Klimpt"/>
        <s v="Tawnya Tickel"/>
        <s v="Jan Morforth"/>
        <s v="Florinda Crace"/>
        <s v="Tracy Renad"/>
        <s v="Myer McCory"/>
        <s v="Bennie Pepis"/>
        <s v="Rafaelita Blaksland"/>
        <s v="Mahalia Larcher"/>
        <s v="Andria Kimpton"/>
        <s v="Valentia Etteridge"/>
        <s v="Virginia McConville"/>
        <s v="Wilone O'Kielt"/>
        <s v="Madge McCloughen"/>
        <s v="Janene Hairsine"/>
        <s v="Alta Kaszper"/>
        <s v="Dennison Crosswaite"/>
        <s v="Oran Buxcy"/>
        <s v="Hinda Label"/>
        <s v="Marney O'Breen"/>
        <s v="Dell Molloy"/>
        <s v="Mallorie Waber"/>
        <s v="Cherlyn Barter"/>
        <s v="Ches Bonnell"/>
        <s v="Collin Jagson"/>
        <s v="Hogan Iles"/>
        <s v="Gretchen Callow"/>
        <s v="Kissiah Maydway"/>
        <s v="Archibald Filliskirk"/>
        <s v="Enoch Dowrey"/>
        <s v="Bili Sizey"/>
        <s v="Caro Chappel"/>
        <s v="Constantino Espley"/>
        <s v="Karlen McCaffrey"/>
        <s v="Drusy MacCombe"/>
        <s v="My Hanscome"/>
        <s v="Teressa Udden"/>
        <s v="Crissie Cordel"/>
        <s v="Elia Cockton"/>
        <s v="Gigi Bohling"/>
        <s v="Ebonee Roxburgh"/>
        <s v="Shayne Stegel"/>
        <s v="Zach Polon"/>
      </sharedItems>
    </cacheField>
    <cacheField name="Gender" numFmtId="0">
      <sharedItems count="3">
        <s v="Male"/>
        <s v="Female"/>
        <s v="Other"/>
      </sharedItems>
    </cacheField>
    <cacheField name="Age" numFmtId="0">
      <sharedItems containsSemiMixedTypes="0" containsString="0" containsNumber="1" containsInteger="1" minValue="19" maxValue="46"/>
    </cacheField>
    <cacheField name="Rating" numFmtId="0">
      <sharedItems count="5">
        <s v="Average"/>
        <s v="Above average"/>
        <s v="Poor"/>
        <s v="Exceptional"/>
        <s v="Very poor"/>
      </sharedItems>
    </cacheField>
    <cacheField name="Date Joined" numFmtId="14">
      <sharedItems containsSemiMixedTypes="0" containsNonDate="0" containsDate="1" containsString="0" minDate="2020-05-07T00:00:00" maxDate="2023-04-30T00:00:00" count="160">
        <d v="2020-10-18T00:00:00"/>
        <d v="2021-04-07T00:00:00"/>
        <d v="2022-04-12T00:00:00"/>
        <d v="2021-05-23T00:00:00"/>
        <d v="2020-09-11T00:00:00"/>
        <d v="2021-03-13T00:00:00"/>
        <d v="2020-11-09T00:00:00"/>
        <d v="2022-06-01T00:00:00"/>
        <d v="2021-05-08T00:00:00"/>
        <d v="2022-04-14T00:00:00"/>
        <d v="2021-05-04T00:00:00"/>
        <d v="2021-12-14T00:00:00"/>
        <d v="2020-05-29T00:00:00"/>
        <d v="2020-07-30T00:00:00"/>
        <d v="2022-03-22T00:00:00"/>
        <d v="2022-04-09T00:00:00"/>
        <d v="2020-05-07T00:00:00"/>
        <d v="2022-08-16T00:00:00"/>
        <d v="2022-05-02T00:00:00"/>
        <d v="2021-07-11T00:00:00"/>
        <d v="2020-08-30T00:00:00"/>
        <d v="2021-03-22T00:00:00"/>
        <d v="2021-12-28T00:00:00"/>
        <d v="2022-06-06T00:00:00"/>
        <d v="2022-04-15T00:00:00"/>
        <d v="2022-03-05T00:00:00"/>
        <d v="2022-02-12T00:00:00"/>
        <d v="2023-02-28T00:00:00"/>
        <d v="2021-12-19T00:00:00"/>
        <d v="2022-08-27T00:00:00"/>
        <d v="2020-11-29T00:00:00"/>
        <d v="2021-03-01T00:00:00"/>
        <d v="2022-01-10T00:00:00"/>
        <d v="2022-03-13T00:00:00"/>
        <d v="2021-06-28T00:00:00"/>
        <d v="2020-10-15T00:00:00"/>
        <d v="2020-08-18T00:00:00"/>
        <d v="2021-07-07T00:00:00"/>
        <d v="2020-07-11T00:00:00"/>
        <d v="2021-11-06T00:00:00"/>
        <d v="2020-12-15T00:00:00"/>
        <d v="2021-04-10T00:00:00"/>
        <d v="2021-07-20T00:00:00"/>
        <d v="2022-02-27T00:00:00"/>
        <d v="2021-02-26T00:00:00"/>
        <d v="2022-02-02T00:00:00"/>
        <d v="2021-08-17T00:00:00"/>
        <d v="2022-05-20T00:00:00"/>
        <d v="2020-12-09T00:00:00"/>
        <d v="2022-04-19T00:00:00"/>
        <d v="2020-10-20T00:00:00"/>
        <d v="2021-01-16T00:00:00"/>
        <d v="2022-02-15T00:00:00"/>
        <d v="2020-09-29T00:00:00"/>
        <d v="2020-06-24T00:00:00"/>
        <d v="2021-12-05T00:00:00"/>
        <d v="2021-07-06T00:00:00"/>
        <d v="2021-09-11T00:00:00"/>
        <d v="2021-03-21T00:00:00"/>
        <d v="2021-10-07T00:00:00"/>
        <d v="2021-07-26T00:00:00"/>
        <d v="2022-07-16T00:00:00"/>
        <d v="2021-04-30T00:00:00"/>
        <d v="2021-01-08T00:00:00"/>
        <d v="2020-09-10T00:00:00"/>
        <d v="2021-03-17T00:00:00"/>
        <d v="2021-12-17T00:00:00"/>
        <d v="2022-07-05T00:00:00"/>
        <d v="2021-06-03T00:00:00"/>
        <d v="2022-03-20T00:00:00"/>
        <d v="2021-05-12T00:00:00"/>
        <d v="2021-01-18T00:00:00"/>
        <d v="2021-12-20T00:00:00"/>
        <d v="2021-07-01T00:00:00"/>
        <d v="2021-07-12T00:00:00"/>
        <d v="2021-09-29T00:00:00"/>
        <d v="2022-01-29T00:00:00"/>
        <d v="2020-05-11T00:00:00"/>
        <d v="2020-09-13T00:00:00"/>
        <d v="2021-05-06T00:00:00"/>
        <d v="2021-04-27T00:00:00"/>
        <d v="2021-09-09T00:00:00"/>
        <d v="2021-08-25T00:00:00"/>
        <d v="2021-01-22T00:00:00"/>
        <d v="2022-05-16T00:00:00"/>
        <d v="2020-12-16T00:00:00"/>
        <d v="2020-10-25T00:00:00"/>
        <d v="2021-09-07T00:00:00"/>
        <d v="2021-06-10T00:00:00"/>
        <d v="2020-11-11T00:00:00"/>
        <d v="2021-09-26T00:00:00"/>
        <d v="2022-10-27T00:00:00"/>
        <d v="2020-11-13T00:00:00"/>
        <d v="2021-11-09T00:00:00"/>
        <d v="2021-09-20T00:00:00"/>
        <d v="2021-06-07T00:00:00"/>
        <d v="2021-03-08T00:00:00"/>
        <d v="2020-09-30T00:00:00"/>
        <d v="2022-07-20T00:00:00"/>
        <d v="2020-11-10T00:00:00"/>
        <d v="2021-02-15T00:00:00"/>
        <d v="2022-04-02T00:00:00"/>
        <d v="2022-01-06T00:00:00"/>
        <d v="2022-02-05T00:00:00"/>
        <d v="2022-08-06T00:00:00"/>
        <d v="2021-05-21T00:00:00"/>
        <d v="2020-12-20T00:00:00"/>
        <d v="2022-02-20T00:00:00"/>
        <d v="2021-06-27T00:00:00"/>
        <d v="2021-10-25T00:00:00"/>
        <d v="2022-06-14T00:00:00"/>
        <d v="2022-06-09T00:00:00"/>
        <d v="2022-03-10T00:00:00"/>
        <d v="2020-12-25T00:00:00"/>
        <d v="2022-06-12T00:00:00"/>
        <d v="2021-11-11T00:00:00"/>
        <d v="2021-08-28T00:00:00"/>
        <d v="2021-11-29T00:00:00"/>
        <d v="2022-09-05T00:00:00"/>
        <d v="2022-05-05T00:00:00"/>
        <d v="2021-09-06T00:00:00"/>
        <d v="2020-12-18T00:00:00"/>
        <d v="2022-07-02T00:00:00"/>
        <d v="2021-12-07T00:00:00"/>
        <d v="2022-05-13T00:00:00"/>
        <d v="2020-07-07T00:00:00"/>
        <d v="2020-07-29T00:00:00"/>
        <d v="2021-07-23T00:00:00"/>
        <d v="2022-10-16T00:00:00"/>
        <d v="2021-05-17T00:00:00"/>
        <d v="2021-06-30T00:00:00"/>
        <d v="2022-02-17T00:00:00"/>
        <d v="2021-03-18T00:00:00"/>
        <d v="2021-09-12T00:00:00"/>
        <d v="2023-04-29T00:00:00"/>
        <d v="2022-08-01T00:00:00"/>
        <d v="2021-10-17T00:00:00"/>
        <d v="2020-10-30T00:00:00"/>
        <d v="2021-03-16T00:00:00"/>
        <d v="2021-05-13T00:00:00"/>
        <d v="2021-01-09T00:00:00"/>
        <d v="2021-05-01T00:00:00"/>
        <d v="2021-01-29T00:00:00"/>
        <d v="2022-03-29T00:00:00"/>
        <d v="2021-05-22T00:00:00"/>
        <d v="2022-04-27T00:00:00"/>
        <d v="2021-09-01T00:00:00"/>
        <d v="2022-06-15T00:00:00"/>
        <d v="2021-02-09T00:00:00"/>
        <d v="2022-02-28T00:00:00"/>
        <d v="2021-07-04T00:00:00"/>
        <d v="2022-02-14T00:00:00"/>
        <d v="2022-09-16T00:00:00"/>
        <d v="2021-02-16T00:00:00"/>
        <d v="2020-08-24T00:00:00"/>
        <d v="2022-02-19T00:00:00"/>
        <d v="2021-04-26T00:00:00"/>
        <d v="2021-07-08T00:00:00"/>
        <d v="2022-06-19T00:00:00"/>
        <d v="2021-08-03T00:00:00"/>
      </sharedItems>
      <fieldGroup par="11"/>
    </cacheField>
    <cacheField name="Department" numFmtId="0">
      <sharedItems count="5">
        <s v="Website"/>
        <s v="Procurement"/>
        <s v="HR"/>
        <s v="Finance"/>
        <s v="Sales"/>
      </sharedItems>
    </cacheField>
    <cacheField name="Salary" numFmtId="164">
      <sharedItems containsSemiMixedTypes="0" containsString="0" containsNumber="1" containsInteger="1" minValue="33920" maxValue="119110"/>
    </cacheField>
    <cacheField name="Country" numFmtId="0">
      <sharedItems count="2">
        <s v="IND"/>
        <s v="NZ"/>
      </sharedItems>
    </cacheField>
    <cacheField name="Tenure" numFmtId="1">
      <sharedItems containsSemiMixedTypes="0" containsString="0" containsNumber="1" minValue="2.4904109589041097" maxValue="5.4684931506849317"/>
    </cacheField>
    <cacheField name="Months (Date Joined)" numFmtId="0" databaseField="0">
      <fieldGroup base="4">
        <rangePr groupBy="months" startDate="2020-05-07T00:00:00" endDate="2023-04-30T00:00:00"/>
        <groupItems count="14">
          <s v="&lt;07/05/2020"/>
          <s v="Jan"/>
          <s v="Feb"/>
          <s v="Mar"/>
          <s v="Apr"/>
          <s v="May"/>
          <s v="Jun"/>
          <s v="Jul"/>
          <s v="Aug"/>
          <s v="Sep"/>
          <s v="Oct"/>
          <s v="Nov"/>
          <s v="Dec"/>
          <s v="&gt;30/04/2023"/>
        </groupItems>
      </fieldGroup>
    </cacheField>
    <cacheField name="Quarters (Date Joined)" numFmtId="0" databaseField="0">
      <fieldGroup base="4">
        <rangePr groupBy="quarters" startDate="2020-05-07T00:00:00" endDate="2023-04-30T00:00:00"/>
        <groupItems count="6">
          <s v="&lt;07/05/2020"/>
          <s v="Qtr1"/>
          <s v="Qtr2"/>
          <s v="Qtr3"/>
          <s v="Qtr4"/>
          <s v="&gt;30/04/2023"/>
        </groupItems>
      </fieldGroup>
    </cacheField>
    <cacheField name="Years (Date Joined)" numFmtId="0" databaseField="0">
      <fieldGroup base="4">
        <rangePr groupBy="years" startDate="2020-05-07T00:00:00" endDate="2023-04-30T00:00:00"/>
        <groupItems count="6">
          <s v="&lt;07/05/2020"/>
          <s v="2020"/>
          <s v="2021"/>
          <s v="2022"/>
          <s v="2023"/>
          <s v="&gt;30/04/2023"/>
        </groupItems>
      </fieldGroup>
    </cacheField>
  </cacheFields>
  <extLst>
    <ext xmlns:x14="http://schemas.microsoft.com/office/spreadsheetml/2009/9/main" uri="{725AE2AE-9491-48be-B2B4-4EB974FC3084}">
      <x14:pivotCacheDefinition pivotCacheId="16645304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x v="0"/>
    <n v="20"/>
    <x v="0"/>
    <x v="0"/>
    <x v="0"/>
    <n v="112650"/>
    <x v="0"/>
    <n v="5.0191780821917806"/>
  </r>
  <r>
    <x v="1"/>
    <x v="1"/>
    <n v="32"/>
    <x v="1"/>
    <x v="1"/>
    <x v="0"/>
    <n v="43840"/>
    <x v="0"/>
    <n v="4.5506849315068489"/>
  </r>
  <r>
    <x v="2"/>
    <x v="0"/>
    <n v="31"/>
    <x v="0"/>
    <x v="2"/>
    <x v="1"/>
    <n v="103550"/>
    <x v="0"/>
    <n v="3.536986301369863"/>
  </r>
  <r>
    <x v="3"/>
    <x v="1"/>
    <n v="32"/>
    <x v="0"/>
    <x v="3"/>
    <x v="2"/>
    <n v="45510"/>
    <x v="0"/>
    <n v="4.4246575342465757"/>
  </r>
  <r>
    <x v="4"/>
    <x v="2"/>
    <n v="37"/>
    <x v="2"/>
    <x v="4"/>
    <x v="3"/>
    <n v="115440"/>
    <x v="0"/>
    <n v="5.1205479452054794"/>
  </r>
  <r>
    <x v="5"/>
    <x v="1"/>
    <n v="38"/>
    <x v="1"/>
    <x v="5"/>
    <x v="4"/>
    <n v="56870"/>
    <x v="0"/>
    <n v="4.6191780821917812"/>
  </r>
  <r>
    <x v="6"/>
    <x v="1"/>
    <n v="25"/>
    <x v="0"/>
    <x v="6"/>
    <x v="4"/>
    <n v="92700"/>
    <x v="0"/>
    <n v="4.9589041095890414"/>
  </r>
  <r>
    <x v="7"/>
    <x v="2"/>
    <n v="32"/>
    <x v="0"/>
    <x v="7"/>
    <x v="0"/>
    <n v="91310"/>
    <x v="0"/>
    <n v="3.4"/>
  </r>
  <r>
    <x v="8"/>
    <x v="0"/>
    <n v="33"/>
    <x v="0"/>
    <x v="8"/>
    <x v="4"/>
    <n v="74550"/>
    <x v="0"/>
    <n v="4.4657534246575343"/>
  </r>
  <r>
    <x v="9"/>
    <x v="0"/>
    <n v="25"/>
    <x v="1"/>
    <x v="9"/>
    <x v="1"/>
    <n v="109190"/>
    <x v="0"/>
    <n v="3.5315068493150683"/>
  </r>
  <r>
    <x v="10"/>
    <x v="1"/>
    <n v="40"/>
    <x v="0"/>
    <x v="10"/>
    <x v="0"/>
    <n v="104410"/>
    <x v="0"/>
    <n v="4.4767123287671229"/>
  </r>
  <r>
    <x v="11"/>
    <x v="0"/>
    <n v="30"/>
    <x v="0"/>
    <x v="11"/>
    <x v="3"/>
    <n v="96800"/>
    <x v="0"/>
    <n v="3.8630136986301369"/>
  </r>
  <r>
    <x v="12"/>
    <x v="0"/>
    <n v="28"/>
    <x v="1"/>
    <x v="12"/>
    <x v="3"/>
    <n v="48170"/>
    <x v="0"/>
    <n v="5.4082191780821915"/>
  </r>
  <r>
    <x v="13"/>
    <x v="0"/>
    <n v="21"/>
    <x v="0"/>
    <x v="13"/>
    <x v="1"/>
    <n v="37920"/>
    <x v="0"/>
    <n v="5.2383561643835614"/>
  </r>
  <r>
    <x v="14"/>
    <x v="0"/>
    <n v="34"/>
    <x v="0"/>
    <x v="14"/>
    <x v="1"/>
    <n v="112650"/>
    <x v="0"/>
    <n v="3.5945205479452054"/>
  </r>
  <r>
    <x v="15"/>
    <x v="1"/>
    <n v="34"/>
    <x v="2"/>
    <x v="15"/>
    <x v="4"/>
    <n v="49630"/>
    <x v="0"/>
    <n v="3.5452054794520547"/>
  </r>
  <r>
    <x v="16"/>
    <x v="0"/>
    <n v="36"/>
    <x v="0"/>
    <x v="16"/>
    <x v="0"/>
    <n v="118840"/>
    <x v="0"/>
    <n v="5.4684931506849317"/>
  </r>
  <r>
    <x v="17"/>
    <x v="0"/>
    <n v="30"/>
    <x v="0"/>
    <x v="17"/>
    <x v="0"/>
    <n v="69710"/>
    <x v="0"/>
    <n v="3.1917808219178081"/>
  </r>
  <r>
    <x v="18"/>
    <x v="0"/>
    <n v="20"/>
    <x v="0"/>
    <x v="18"/>
    <x v="1"/>
    <n v="79570"/>
    <x v="0"/>
    <n v="3.4821917808219176"/>
  </r>
  <r>
    <x v="19"/>
    <x v="1"/>
    <n v="22"/>
    <x v="1"/>
    <x v="19"/>
    <x v="1"/>
    <n v="76900"/>
    <x v="0"/>
    <n v="4.2904109589041095"/>
  </r>
  <r>
    <x v="20"/>
    <x v="0"/>
    <n v="27"/>
    <x v="0"/>
    <x v="20"/>
    <x v="4"/>
    <n v="54970"/>
    <x v="0"/>
    <n v="5.1534246575342468"/>
  </r>
  <r>
    <x v="21"/>
    <x v="0"/>
    <n v="37"/>
    <x v="2"/>
    <x v="21"/>
    <x v="0"/>
    <n v="88050"/>
    <x v="0"/>
    <n v="4.5945205479452058"/>
  </r>
  <r>
    <x v="22"/>
    <x v="0"/>
    <n v="43"/>
    <x v="0"/>
    <x v="22"/>
    <x v="4"/>
    <n v="36040"/>
    <x v="0"/>
    <n v="3.8246575342465752"/>
  </r>
  <r>
    <x v="23"/>
    <x v="1"/>
    <n v="42"/>
    <x v="3"/>
    <x v="23"/>
    <x v="1"/>
    <n v="75000"/>
    <x v="0"/>
    <n v="3.3863013698630136"/>
  </r>
  <r>
    <x v="24"/>
    <x v="0"/>
    <n v="35"/>
    <x v="0"/>
    <x v="24"/>
    <x v="1"/>
    <n v="40400"/>
    <x v="0"/>
    <n v="3.5287671232876714"/>
  </r>
  <r>
    <x v="25"/>
    <x v="0"/>
    <n v="24"/>
    <x v="0"/>
    <x v="25"/>
    <x v="0"/>
    <n v="100420"/>
    <x v="0"/>
    <n v="3.6410958904109587"/>
  </r>
  <r>
    <x v="26"/>
    <x v="1"/>
    <n v="31"/>
    <x v="0"/>
    <x v="26"/>
    <x v="0"/>
    <n v="58100"/>
    <x v="0"/>
    <n v="3.6986301369863015"/>
  </r>
  <r>
    <x v="27"/>
    <x v="1"/>
    <n v="44"/>
    <x v="0"/>
    <x v="27"/>
    <x v="0"/>
    <n v="114870"/>
    <x v="0"/>
    <n v="2.6547945205479451"/>
  </r>
  <r>
    <x v="28"/>
    <x v="1"/>
    <n v="32"/>
    <x v="0"/>
    <x v="28"/>
    <x v="1"/>
    <n v="41570"/>
    <x v="0"/>
    <n v="3.8493150684931505"/>
  </r>
  <r>
    <x v="29"/>
    <x v="1"/>
    <n v="30"/>
    <x v="0"/>
    <x v="29"/>
    <x v="1"/>
    <n v="112570"/>
    <x v="0"/>
    <n v="3.1616438356164385"/>
  </r>
  <r>
    <x v="30"/>
    <x v="0"/>
    <n v="26"/>
    <x v="0"/>
    <x v="30"/>
    <x v="1"/>
    <n v="47360"/>
    <x v="0"/>
    <n v="4.904109589041096"/>
  </r>
  <r>
    <x v="31"/>
    <x v="1"/>
    <n v="21"/>
    <x v="0"/>
    <x v="31"/>
    <x v="3"/>
    <n v="65920"/>
    <x v="0"/>
    <n v="4.6520547945205477"/>
  </r>
  <r>
    <x v="32"/>
    <x v="1"/>
    <n v="28"/>
    <x v="0"/>
    <x v="32"/>
    <x v="1"/>
    <n v="99970"/>
    <x v="0"/>
    <n v="3.7890410958904108"/>
  </r>
  <r>
    <x v="33"/>
    <x v="1"/>
    <n v="25"/>
    <x v="1"/>
    <x v="33"/>
    <x v="0"/>
    <n v="80700"/>
    <x v="0"/>
    <n v="3.6191780821917807"/>
  </r>
  <r>
    <x v="34"/>
    <x v="0"/>
    <n v="24"/>
    <x v="2"/>
    <x v="34"/>
    <x v="3"/>
    <n v="52610"/>
    <x v="0"/>
    <n v="4.3260273972602743"/>
  </r>
  <r>
    <x v="35"/>
    <x v="0"/>
    <n v="29"/>
    <x v="2"/>
    <x v="35"/>
    <x v="0"/>
    <n v="112110"/>
    <x v="0"/>
    <n v="5.0273972602739727"/>
  </r>
  <r>
    <x v="36"/>
    <x v="1"/>
    <n v="27"/>
    <x v="0"/>
    <x v="36"/>
    <x v="2"/>
    <n v="119110"/>
    <x v="0"/>
    <n v="5.1863013698630134"/>
  </r>
  <r>
    <x v="37"/>
    <x v="0"/>
    <n v="22"/>
    <x v="1"/>
    <x v="37"/>
    <x v="4"/>
    <n v="112780"/>
    <x v="0"/>
    <n v="4.3013698630136989"/>
  </r>
  <r>
    <x v="38"/>
    <x v="1"/>
    <n v="36"/>
    <x v="0"/>
    <x v="38"/>
    <x v="1"/>
    <n v="114890"/>
    <x v="0"/>
    <n v="5.2904109589041095"/>
  </r>
  <r>
    <x v="39"/>
    <x v="0"/>
    <n v="27"/>
    <x v="0"/>
    <x v="39"/>
    <x v="3"/>
    <n v="48980"/>
    <x v="0"/>
    <n v="3.967123287671233"/>
  </r>
  <r>
    <x v="40"/>
    <x v="0"/>
    <n v="21"/>
    <x v="0"/>
    <x v="40"/>
    <x v="2"/>
    <n v="75880"/>
    <x v="0"/>
    <n v="4.86027397260274"/>
  </r>
  <r>
    <x v="41"/>
    <x v="1"/>
    <n v="28"/>
    <x v="0"/>
    <x v="41"/>
    <x v="4"/>
    <n v="53240"/>
    <x v="0"/>
    <n v="4.5424657534246577"/>
  </r>
  <r>
    <x v="42"/>
    <x v="1"/>
    <n v="34"/>
    <x v="0"/>
    <x v="42"/>
    <x v="3"/>
    <n v="85000"/>
    <x v="0"/>
    <n v="4.2657534246575342"/>
  </r>
  <r>
    <x v="43"/>
    <x v="1"/>
    <n v="21"/>
    <x v="0"/>
    <x v="43"/>
    <x v="0"/>
    <n v="33920"/>
    <x v="0"/>
    <n v="3.6575342465753424"/>
  </r>
  <r>
    <x v="44"/>
    <x v="1"/>
    <n v="33"/>
    <x v="0"/>
    <x v="44"/>
    <x v="0"/>
    <n v="75280"/>
    <x v="0"/>
    <n v="4.6602739726027398"/>
  </r>
  <r>
    <x v="45"/>
    <x v="1"/>
    <n v="34"/>
    <x v="0"/>
    <x v="45"/>
    <x v="3"/>
    <n v="58940"/>
    <x v="0"/>
    <n v="3.7260273972602738"/>
  </r>
  <r>
    <x v="46"/>
    <x v="1"/>
    <n v="28"/>
    <x v="0"/>
    <x v="46"/>
    <x v="1"/>
    <n v="104770"/>
    <x v="0"/>
    <n v="4.1890410958904107"/>
  </r>
  <r>
    <x v="47"/>
    <x v="0"/>
    <n v="21"/>
    <x v="0"/>
    <x v="47"/>
    <x v="1"/>
    <n v="57090"/>
    <x v="0"/>
    <n v="3.4328767123287673"/>
  </r>
  <r>
    <x v="48"/>
    <x v="0"/>
    <n v="27"/>
    <x v="1"/>
    <x v="48"/>
    <x v="3"/>
    <n v="91650"/>
    <x v="0"/>
    <n v="4.8767123287671232"/>
  </r>
  <r>
    <x v="49"/>
    <x v="0"/>
    <n v="42"/>
    <x v="2"/>
    <x v="49"/>
    <x v="3"/>
    <n v="70270"/>
    <x v="0"/>
    <n v="3.5178082191780824"/>
  </r>
  <r>
    <x v="50"/>
    <x v="1"/>
    <n v="28"/>
    <x v="0"/>
    <x v="50"/>
    <x v="3"/>
    <n v="75970"/>
    <x v="0"/>
    <n v="5.0136986301369859"/>
  </r>
  <r>
    <x v="51"/>
    <x v="2"/>
    <n v="27"/>
    <x v="1"/>
    <x v="51"/>
    <x v="0"/>
    <n v="90700"/>
    <x v="0"/>
    <n v="4.7726027397260271"/>
  </r>
  <r>
    <x v="52"/>
    <x v="0"/>
    <n v="30"/>
    <x v="0"/>
    <x v="52"/>
    <x v="1"/>
    <n v="60570"/>
    <x v="0"/>
    <n v="3.6904109589041094"/>
  </r>
  <r>
    <x v="53"/>
    <x v="0"/>
    <n v="33"/>
    <x v="0"/>
    <x v="53"/>
    <x v="1"/>
    <n v="115920"/>
    <x v="0"/>
    <n v="5.0712328767123287"/>
  </r>
  <r>
    <x v="54"/>
    <x v="1"/>
    <n v="33"/>
    <x v="0"/>
    <x v="54"/>
    <x v="3"/>
    <n v="65360"/>
    <x v="0"/>
    <n v="5.3369863013698629"/>
  </r>
  <r>
    <x v="55"/>
    <x v="2"/>
    <n v="30"/>
    <x v="0"/>
    <x v="55"/>
    <x v="3"/>
    <n v="64000"/>
    <x v="0"/>
    <n v="3.8876712328767122"/>
  </r>
  <r>
    <x v="56"/>
    <x v="1"/>
    <n v="34"/>
    <x v="0"/>
    <x v="56"/>
    <x v="3"/>
    <n v="92450"/>
    <x v="0"/>
    <n v="4.3041095890410963"/>
  </r>
  <r>
    <x v="57"/>
    <x v="0"/>
    <n v="31"/>
    <x v="0"/>
    <x v="57"/>
    <x v="0"/>
    <n v="48950"/>
    <x v="0"/>
    <n v="4.1205479452054794"/>
  </r>
  <r>
    <x v="58"/>
    <x v="1"/>
    <n v="27"/>
    <x v="0"/>
    <x v="25"/>
    <x v="0"/>
    <n v="83750"/>
    <x v="0"/>
    <n v="3.6410958904109587"/>
  </r>
  <r>
    <x v="59"/>
    <x v="1"/>
    <n v="40"/>
    <x v="0"/>
    <x v="58"/>
    <x v="0"/>
    <n v="87620"/>
    <x v="0"/>
    <n v="4.5972602739726032"/>
  </r>
  <r>
    <x v="60"/>
    <x v="1"/>
    <n v="20"/>
    <x v="2"/>
    <x v="59"/>
    <x v="4"/>
    <n v="68900"/>
    <x v="0"/>
    <n v="4.0493150684931507"/>
  </r>
  <r>
    <x v="61"/>
    <x v="0"/>
    <n v="32"/>
    <x v="0"/>
    <x v="60"/>
    <x v="4"/>
    <n v="53540"/>
    <x v="0"/>
    <n v="4.2493150684931509"/>
  </r>
  <r>
    <x v="62"/>
    <x v="0"/>
    <n v="28"/>
    <x v="4"/>
    <x v="61"/>
    <x v="4"/>
    <n v="43510"/>
    <x v="0"/>
    <n v="3.2767123287671232"/>
  </r>
  <r>
    <x v="63"/>
    <x v="1"/>
    <n v="38"/>
    <x v="3"/>
    <x v="62"/>
    <x v="4"/>
    <n v="109160"/>
    <x v="0"/>
    <n v="4.4876712328767123"/>
  </r>
  <r>
    <x v="64"/>
    <x v="0"/>
    <n v="40"/>
    <x v="0"/>
    <x v="63"/>
    <x v="1"/>
    <n v="99750"/>
    <x v="0"/>
    <n v="4.7945205479452051"/>
  </r>
  <r>
    <x v="65"/>
    <x v="1"/>
    <n v="31"/>
    <x v="0"/>
    <x v="64"/>
    <x v="0"/>
    <n v="41980"/>
    <x v="0"/>
    <n v="5.1232876712328768"/>
  </r>
  <r>
    <x v="66"/>
    <x v="0"/>
    <n v="36"/>
    <x v="0"/>
    <x v="65"/>
    <x v="3"/>
    <n v="71380"/>
    <x v="0"/>
    <n v="4.6082191780821917"/>
  </r>
  <r>
    <x v="67"/>
    <x v="0"/>
    <n v="27"/>
    <x v="4"/>
    <x v="66"/>
    <x v="1"/>
    <n v="113280"/>
    <x v="0"/>
    <n v="3.8547945205479452"/>
  </r>
  <r>
    <x v="68"/>
    <x v="1"/>
    <n v="33"/>
    <x v="0"/>
    <x v="67"/>
    <x v="3"/>
    <n v="86570"/>
    <x v="0"/>
    <n v="3.3068493150684932"/>
  </r>
  <r>
    <x v="69"/>
    <x v="0"/>
    <n v="26"/>
    <x v="0"/>
    <x v="68"/>
    <x v="1"/>
    <n v="53540"/>
    <x v="0"/>
    <n v="4.3945205479452056"/>
  </r>
  <r>
    <x v="70"/>
    <x v="0"/>
    <n v="37"/>
    <x v="0"/>
    <x v="69"/>
    <x v="0"/>
    <n v="69070"/>
    <x v="0"/>
    <n v="3.6"/>
  </r>
  <r>
    <x v="71"/>
    <x v="1"/>
    <n v="30"/>
    <x v="2"/>
    <x v="70"/>
    <x v="3"/>
    <n v="67910"/>
    <x v="0"/>
    <n v="4.4547945205479449"/>
  </r>
  <r>
    <x v="72"/>
    <x v="0"/>
    <n v="30"/>
    <x v="0"/>
    <x v="71"/>
    <x v="0"/>
    <n v="69120"/>
    <x v="0"/>
    <n v="4.7671232876712333"/>
  </r>
  <r>
    <x v="73"/>
    <x v="1"/>
    <n v="34"/>
    <x v="0"/>
    <x v="72"/>
    <x v="3"/>
    <n v="60130"/>
    <x v="0"/>
    <n v="3.8465753424657536"/>
  </r>
  <r>
    <x v="74"/>
    <x v="0"/>
    <n v="23"/>
    <x v="0"/>
    <x v="73"/>
    <x v="1"/>
    <n v="106460"/>
    <x v="0"/>
    <n v="4.3178082191780822"/>
  </r>
  <r>
    <x v="75"/>
    <x v="1"/>
    <n v="37"/>
    <x v="0"/>
    <x v="74"/>
    <x v="2"/>
    <n v="118100"/>
    <x v="0"/>
    <n v="4.2876712328767121"/>
  </r>
  <r>
    <x v="76"/>
    <x v="1"/>
    <n v="36"/>
    <x v="0"/>
    <x v="75"/>
    <x v="1"/>
    <n v="78390"/>
    <x v="0"/>
    <n v="4.0712328767123287"/>
  </r>
  <r>
    <x v="77"/>
    <x v="1"/>
    <n v="30"/>
    <x v="0"/>
    <x v="17"/>
    <x v="1"/>
    <n v="114180"/>
    <x v="0"/>
    <n v="3.1917808219178081"/>
  </r>
  <r>
    <x v="78"/>
    <x v="1"/>
    <n v="28"/>
    <x v="0"/>
    <x v="76"/>
    <x v="1"/>
    <n v="104120"/>
    <x v="0"/>
    <n v="3.7369863013698632"/>
  </r>
  <r>
    <x v="79"/>
    <x v="0"/>
    <n v="30"/>
    <x v="0"/>
    <x v="69"/>
    <x v="1"/>
    <n v="67950"/>
    <x v="0"/>
    <n v="3.6"/>
  </r>
  <r>
    <x v="80"/>
    <x v="1"/>
    <n v="29"/>
    <x v="0"/>
    <x v="77"/>
    <x v="0"/>
    <n v="34980"/>
    <x v="0"/>
    <n v="5.4575342465753423"/>
  </r>
  <r>
    <x v="81"/>
    <x v="1"/>
    <n v="24"/>
    <x v="0"/>
    <x v="78"/>
    <x v="0"/>
    <n v="62780"/>
    <x v="0"/>
    <n v="5.1150684931506847"/>
  </r>
  <r>
    <x v="82"/>
    <x v="0"/>
    <n v="20"/>
    <x v="0"/>
    <x v="42"/>
    <x v="0"/>
    <n v="107700"/>
    <x v="0"/>
    <n v="4.2657534246575342"/>
  </r>
  <r>
    <x v="83"/>
    <x v="0"/>
    <n v="25"/>
    <x v="0"/>
    <x v="79"/>
    <x v="4"/>
    <n v="65700"/>
    <x v="0"/>
    <n v="4.4712328767123291"/>
  </r>
  <r>
    <x v="84"/>
    <x v="1"/>
    <n v="33"/>
    <x v="4"/>
    <x v="80"/>
    <x v="0"/>
    <n v="75480"/>
    <x v="0"/>
    <n v="4.4958904109589044"/>
  </r>
  <r>
    <x v="85"/>
    <x v="0"/>
    <n v="33"/>
    <x v="0"/>
    <x v="81"/>
    <x v="0"/>
    <n v="53870"/>
    <x v="0"/>
    <n v="4.1260273972602741"/>
  </r>
  <r>
    <x v="86"/>
    <x v="1"/>
    <n v="36"/>
    <x v="0"/>
    <x v="82"/>
    <x v="4"/>
    <n v="78540"/>
    <x v="0"/>
    <n v="4.1671232876712327"/>
  </r>
  <r>
    <x v="87"/>
    <x v="0"/>
    <n v="19"/>
    <x v="0"/>
    <x v="83"/>
    <x v="1"/>
    <n v="58960"/>
    <x v="0"/>
    <n v="4.7561643835616438"/>
  </r>
  <r>
    <x v="88"/>
    <x v="0"/>
    <n v="46"/>
    <x v="0"/>
    <x v="84"/>
    <x v="1"/>
    <n v="70610"/>
    <x v="0"/>
    <n v="3.4438356164383563"/>
  </r>
  <r>
    <x v="89"/>
    <x v="0"/>
    <n v="33"/>
    <x v="0"/>
    <x v="85"/>
    <x v="3"/>
    <n v="59430"/>
    <x v="0"/>
    <n v="4.8575342465753426"/>
  </r>
  <r>
    <x v="90"/>
    <x v="0"/>
    <n v="33"/>
    <x v="1"/>
    <x v="69"/>
    <x v="1"/>
    <n v="48530"/>
    <x v="0"/>
    <n v="3.6"/>
  </r>
  <r>
    <x v="91"/>
    <x v="1"/>
    <n v="33"/>
    <x v="0"/>
    <x v="86"/>
    <x v="0"/>
    <n v="96140"/>
    <x v="0"/>
    <n v="5"/>
  </r>
  <r>
    <x v="92"/>
    <x v="0"/>
    <n v="22"/>
    <x v="1"/>
    <x v="87"/>
    <x v="4"/>
    <n v="112780"/>
    <x v="1"/>
    <n v="4.1315068493150688"/>
  </r>
  <r>
    <x v="93"/>
    <x v="0"/>
    <n v="46"/>
    <x v="0"/>
    <x v="61"/>
    <x v="1"/>
    <n v="70610"/>
    <x v="1"/>
    <n v="3.2767123287671232"/>
  </r>
  <r>
    <x v="94"/>
    <x v="1"/>
    <n v="28"/>
    <x v="0"/>
    <x v="88"/>
    <x v="4"/>
    <n v="53240"/>
    <x v="1"/>
    <n v="4.375342465753425"/>
  </r>
  <r>
    <x v="95"/>
    <x v="2"/>
    <n v="37"/>
    <x v="2"/>
    <x v="89"/>
    <x v="3"/>
    <n v="115440"/>
    <x v="1"/>
    <n v="4.9534246575342467"/>
  </r>
  <r>
    <x v="96"/>
    <x v="0"/>
    <n v="32"/>
    <x v="0"/>
    <x v="90"/>
    <x v="4"/>
    <n v="53540"/>
    <x v="1"/>
    <n v="4.0794520547945208"/>
  </r>
  <r>
    <x v="97"/>
    <x v="1"/>
    <n v="30"/>
    <x v="0"/>
    <x v="91"/>
    <x v="1"/>
    <n v="112570"/>
    <x v="1"/>
    <n v="2.9945205479452053"/>
  </r>
  <r>
    <x v="98"/>
    <x v="0"/>
    <n v="33"/>
    <x v="1"/>
    <x v="47"/>
    <x v="1"/>
    <n v="48530"/>
    <x v="1"/>
    <n v="3.4328767123287673"/>
  </r>
  <r>
    <x v="99"/>
    <x v="1"/>
    <n v="24"/>
    <x v="0"/>
    <x v="92"/>
    <x v="0"/>
    <n v="62780"/>
    <x v="1"/>
    <n v="4.9479452054794519"/>
  </r>
  <r>
    <x v="100"/>
    <x v="0"/>
    <n v="33"/>
    <x v="0"/>
    <x v="93"/>
    <x v="0"/>
    <n v="53870"/>
    <x v="1"/>
    <n v="3.9589041095890409"/>
  </r>
  <r>
    <x v="101"/>
    <x v="1"/>
    <n v="27"/>
    <x v="0"/>
    <x v="0"/>
    <x v="2"/>
    <n v="119110"/>
    <x v="1"/>
    <n v="5.0191780821917806"/>
  </r>
  <r>
    <x v="102"/>
    <x v="0"/>
    <n v="29"/>
    <x v="2"/>
    <x v="40"/>
    <x v="0"/>
    <n v="112110"/>
    <x v="1"/>
    <n v="4.86027397260274"/>
  </r>
  <r>
    <x v="103"/>
    <x v="0"/>
    <n v="25"/>
    <x v="0"/>
    <x v="56"/>
    <x v="4"/>
    <n v="65700"/>
    <x v="1"/>
    <n v="4.3041095890410963"/>
  </r>
  <r>
    <x v="104"/>
    <x v="0"/>
    <n v="37"/>
    <x v="0"/>
    <x v="47"/>
    <x v="0"/>
    <n v="69070"/>
    <x v="1"/>
    <n v="3.4328767123287673"/>
  </r>
  <r>
    <x v="105"/>
    <x v="0"/>
    <n v="20"/>
    <x v="0"/>
    <x v="94"/>
    <x v="0"/>
    <n v="107700"/>
    <x v="1"/>
    <n v="4.095890410958904"/>
  </r>
  <r>
    <x v="106"/>
    <x v="1"/>
    <n v="32"/>
    <x v="1"/>
    <x v="95"/>
    <x v="0"/>
    <n v="43840"/>
    <x v="1"/>
    <n v="4.3835616438356162"/>
  </r>
  <r>
    <x v="107"/>
    <x v="0"/>
    <n v="40"/>
    <x v="0"/>
    <x v="96"/>
    <x v="1"/>
    <n v="99750"/>
    <x v="1"/>
    <n v="4.6328767123287671"/>
  </r>
  <r>
    <x v="108"/>
    <x v="0"/>
    <n v="21"/>
    <x v="0"/>
    <x v="97"/>
    <x v="1"/>
    <n v="37920"/>
    <x v="1"/>
    <n v="5.0684931506849313"/>
  </r>
  <r>
    <x v="109"/>
    <x v="0"/>
    <n v="21"/>
    <x v="0"/>
    <x v="98"/>
    <x v="1"/>
    <n v="57090"/>
    <x v="1"/>
    <n v="3.2657534246575342"/>
  </r>
  <r>
    <x v="110"/>
    <x v="1"/>
    <n v="31"/>
    <x v="0"/>
    <x v="99"/>
    <x v="0"/>
    <n v="41980"/>
    <x v="1"/>
    <n v="4.956164383561644"/>
  </r>
  <r>
    <x v="111"/>
    <x v="0"/>
    <n v="21"/>
    <x v="0"/>
    <x v="100"/>
    <x v="2"/>
    <n v="75880"/>
    <x v="1"/>
    <n v="4.6904109589041099"/>
  </r>
  <r>
    <x v="112"/>
    <x v="1"/>
    <n v="34"/>
    <x v="0"/>
    <x v="101"/>
    <x v="3"/>
    <n v="58940"/>
    <x v="1"/>
    <n v="3.5643835616438357"/>
  </r>
  <r>
    <x v="113"/>
    <x v="1"/>
    <n v="30"/>
    <x v="2"/>
    <x v="74"/>
    <x v="3"/>
    <n v="67910"/>
    <x v="1"/>
    <n v="4.2876712328767121"/>
  </r>
  <r>
    <x v="114"/>
    <x v="1"/>
    <n v="31"/>
    <x v="0"/>
    <x v="2"/>
    <x v="0"/>
    <n v="58100"/>
    <x v="1"/>
    <n v="3.536986301369863"/>
  </r>
  <r>
    <x v="115"/>
    <x v="0"/>
    <n v="27"/>
    <x v="0"/>
    <x v="102"/>
    <x v="3"/>
    <n v="48980"/>
    <x v="1"/>
    <n v="3.8"/>
  </r>
  <r>
    <x v="116"/>
    <x v="2"/>
    <n v="30"/>
    <x v="0"/>
    <x v="103"/>
    <x v="3"/>
    <n v="64000"/>
    <x v="1"/>
    <n v="3.7178082191780821"/>
  </r>
  <r>
    <x v="117"/>
    <x v="1"/>
    <n v="42"/>
    <x v="3"/>
    <x v="104"/>
    <x v="1"/>
    <n v="75000"/>
    <x v="1"/>
    <n v="3.2191780821917808"/>
  </r>
  <r>
    <x v="118"/>
    <x v="1"/>
    <n v="40"/>
    <x v="0"/>
    <x v="105"/>
    <x v="0"/>
    <n v="87620"/>
    <x v="1"/>
    <n v="4.4301369863013695"/>
  </r>
  <r>
    <x v="119"/>
    <x v="1"/>
    <n v="29"/>
    <x v="0"/>
    <x v="38"/>
    <x v="0"/>
    <n v="34980"/>
    <x v="1"/>
    <n v="5.2904109589041095"/>
  </r>
  <r>
    <x v="120"/>
    <x v="1"/>
    <n v="28"/>
    <x v="0"/>
    <x v="106"/>
    <x v="3"/>
    <n v="75970"/>
    <x v="1"/>
    <n v="4.8465753424657532"/>
  </r>
  <r>
    <x v="121"/>
    <x v="1"/>
    <n v="34"/>
    <x v="0"/>
    <x v="107"/>
    <x v="3"/>
    <n v="60130"/>
    <x v="1"/>
    <n v="3.6767123287671235"/>
  </r>
  <r>
    <x v="122"/>
    <x v="1"/>
    <n v="33"/>
    <x v="4"/>
    <x v="108"/>
    <x v="0"/>
    <n v="75480"/>
    <x v="1"/>
    <n v="4.3287671232876717"/>
  </r>
  <r>
    <x v="123"/>
    <x v="0"/>
    <n v="33"/>
    <x v="0"/>
    <x v="30"/>
    <x v="1"/>
    <n v="115920"/>
    <x v="1"/>
    <n v="4.904109589041096"/>
  </r>
  <r>
    <x v="124"/>
    <x v="1"/>
    <n v="36"/>
    <x v="0"/>
    <x v="109"/>
    <x v="4"/>
    <n v="78540"/>
    <x v="1"/>
    <n v="4"/>
  </r>
  <r>
    <x v="125"/>
    <x v="0"/>
    <n v="25"/>
    <x v="1"/>
    <x v="110"/>
    <x v="1"/>
    <n v="109190"/>
    <x v="1"/>
    <n v="3.3643835616438356"/>
  </r>
  <r>
    <x v="126"/>
    <x v="1"/>
    <n v="34"/>
    <x v="2"/>
    <x v="111"/>
    <x v="4"/>
    <n v="49630"/>
    <x v="1"/>
    <n v="3.3780821917808219"/>
  </r>
  <r>
    <x v="127"/>
    <x v="1"/>
    <n v="28"/>
    <x v="0"/>
    <x v="112"/>
    <x v="1"/>
    <n v="99970"/>
    <x v="1"/>
    <n v="3.6273972602739728"/>
  </r>
  <r>
    <x v="128"/>
    <x v="1"/>
    <n v="33"/>
    <x v="0"/>
    <x v="113"/>
    <x v="0"/>
    <n v="96140"/>
    <x v="1"/>
    <n v="4.8328767123287673"/>
  </r>
  <r>
    <x v="129"/>
    <x v="0"/>
    <n v="31"/>
    <x v="0"/>
    <x v="114"/>
    <x v="1"/>
    <n v="103550"/>
    <x v="1"/>
    <n v="3.3698630136986303"/>
  </r>
  <r>
    <x v="130"/>
    <x v="0"/>
    <n v="31"/>
    <x v="0"/>
    <x v="115"/>
    <x v="0"/>
    <n v="48950"/>
    <x v="1"/>
    <n v="3.9534246575342467"/>
  </r>
  <r>
    <x v="131"/>
    <x v="0"/>
    <n v="24"/>
    <x v="2"/>
    <x v="116"/>
    <x v="3"/>
    <n v="52610"/>
    <x v="1"/>
    <n v="4.1589041095890407"/>
  </r>
  <r>
    <x v="132"/>
    <x v="1"/>
    <n v="36"/>
    <x v="0"/>
    <x v="117"/>
    <x v="1"/>
    <n v="78390"/>
    <x v="1"/>
    <n v="3.904109589041096"/>
  </r>
  <r>
    <x v="133"/>
    <x v="1"/>
    <n v="33"/>
    <x v="0"/>
    <x v="118"/>
    <x v="3"/>
    <n v="86570"/>
    <x v="1"/>
    <n v="3.1369863013698631"/>
  </r>
  <r>
    <x v="134"/>
    <x v="1"/>
    <n v="27"/>
    <x v="0"/>
    <x v="119"/>
    <x v="0"/>
    <n v="83750"/>
    <x v="1"/>
    <n v="3.473972602739726"/>
  </r>
  <r>
    <x v="135"/>
    <x v="1"/>
    <n v="34"/>
    <x v="0"/>
    <x v="120"/>
    <x v="3"/>
    <n v="92450"/>
    <x v="1"/>
    <n v="4.1342465753424653"/>
  </r>
  <r>
    <x v="136"/>
    <x v="0"/>
    <n v="20"/>
    <x v="0"/>
    <x v="121"/>
    <x v="0"/>
    <n v="112650"/>
    <x v="1"/>
    <n v="4.8520547945205479"/>
  </r>
  <r>
    <x v="137"/>
    <x v="0"/>
    <n v="20"/>
    <x v="0"/>
    <x v="122"/>
    <x v="1"/>
    <n v="79570"/>
    <x v="1"/>
    <n v="3.3150684931506849"/>
  </r>
  <r>
    <x v="138"/>
    <x v="1"/>
    <n v="20"/>
    <x v="2"/>
    <x v="123"/>
    <x v="4"/>
    <n v="68900"/>
    <x v="1"/>
    <n v="3.882191780821918"/>
  </r>
  <r>
    <x v="139"/>
    <x v="1"/>
    <n v="25"/>
    <x v="1"/>
    <x v="124"/>
    <x v="0"/>
    <n v="80700"/>
    <x v="1"/>
    <n v="3.452054794520548"/>
  </r>
  <r>
    <x v="140"/>
    <x v="0"/>
    <n v="19"/>
    <x v="0"/>
    <x v="21"/>
    <x v="1"/>
    <n v="58960"/>
    <x v="1"/>
    <n v="4.5945205479452058"/>
  </r>
  <r>
    <x v="141"/>
    <x v="0"/>
    <n v="36"/>
    <x v="0"/>
    <x v="125"/>
    <x v="0"/>
    <n v="118840"/>
    <x v="1"/>
    <n v="5.3013698630136989"/>
  </r>
  <r>
    <x v="142"/>
    <x v="0"/>
    <n v="28"/>
    <x v="1"/>
    <x v="126"/>
    <x v="3"/>
    <n v="48170"/>
    <x v="1"/>
    <n v="5.2410958904109588"/>
  </r>
  <r>
    <x v="143"/>
    <x v="1"/>
    <n v="32"/>
    <x v="0"/>
    <x v="127"/>
    <x v="2"/>
    <n v="45510"/>
    <x v="1"/>
    <n v="4.2575342465753421"/>
  </r>
  <r>
    <x v="144"/>
    <x v="1"/>
    <n v="36"/>
    <x v="0"/>
    <x v="4"/>
    <x v="1"/>
    <n v="114890"/>
    <x v="1"/>
    <n v="5.1205479452054794"/>
  </r>
  <r>
    <x v="145"/>
    <x v="0"/>
    <n v="30"/>
    <x v="0"/>
    <x v="128"/>
    <x v="0"/>
    <n v="69710"/>
    <x v="1"/>
    <n v="3.0246575342465754"/>
  </r>
  <r>
    <x v="146"/>
    <x v="0"/>
    <n v="36"/>
    <x v="0"/>
    <x v="129"/>
    <x v="3"/>
    <n v="71380"/>
    <x v="1"/>
    <n v="4.441095890410959"/>
  </r>
  <r>
    <x v="147"/>
    <x v="1"/>
    <n v="38"/>
    <x v="3"/>
    <x v="130"/>
    <x v="4"/>
    <n v="109160"/>
    <x v="1"/>
    <n v="4.3205479452054796"/>
  </r>
  <r>
    <x v="148"/>
    <x v="0"/>
    <n v="27"/>
    <x v="4"/>
    <x v="131"/>
    <x v="1"/>
    <n v="113280"/>
    <x v="1"/>
    <n v="3.6849315068493151"/>
  </r>
  <r>
    <x v="149"/>
    <x v="0"/>
    <n v="30"/>
    <x v="0"/>
    <x v="132"/>
    <x v="0"/>
    <n v="69120"/>
    <x v="1"/>
    <n v="4.6054794520547944"/>
  </r>
  <r>
    <x v="150"/>
    <x v="1"/>
    <n v="37"/>
    <x v="0"/>
    <x v="133"/>
    <x v="2"/>
    <n v="118100"/>
    <x v="1"/>
    <n v="4.117808219178082"/>
  </r>
  <r>
    <x v="151"/>
    <x v="1"/>
    <n v="22"/>
    <x v="1"/>
    <x v="57"/>
    <x v="1"/>
    <n v="76900"/>
    <x v="1"/>
    <n v="4.1205479452054794"/>
  </r>
  <r>
    <x v="152"/>
    <x v="1"/>
    <n v="43"/>
    <x v="0"/>
    <x v="134"/>
    <x v="0"/>
    <n v="114870"/>
    <x v="1"/>
    <n v="2.4904109589041097"/>
  </r>
  <r>
    <x v="153"/>
    <x v="2"/>
    <n v="32"/>
    <x v="0"/>
    <x v="135"/>
    <x v="0"/>
    <n v="91310"/>
    <x v="1"/>
    <n v="3.2328767123287672"/>
  </r>
  <r>
    <x v="154"/>
    <x v="1"/>
    <n v="28"/>
    <x v="0"/>
    <x v="136"/>
    <x v="1"/>
    <n v="104770"/>
    <x v="1"/>
    <n v="4.021917808219178"/>
  </r>
  <r>
    <x v="155"/>
    <x v="0"/>
    <n v="27"/>
    <x v="0"/>
    <x v="137"/>
    <x v="4"/>
    <n v="54970"/>
    <x v="1"/>
    <n v="4.9863013698630141"/>
  </r>
  <r>
    <x v="156"/>
    <x v="2"/>
    <n v="26"/>
    <x v="1"/>
    <x v="138"/>
    <x v="0"/>
    <n v="90700"/>
    <x v="1"/>
    <n v="4.6109589041095891"/>
  </r>
  <r>
    <x v="157"/>
    <x v="1"/>
    <n v="38"/>
    <x v="1"/>
    <x v="139"/>
    <x v="4"/>
    <n v="56870"/>
    <x v="1"/>
    <n v="4.4520547945205475"/>
  </r>
  <r>
    <x v="158"/>
    <x v="1"/>
    <n v="25"/>
    <x v="0"/>
    <x v="140"/>
    <x v="4"/>
    <n v="92700"/>
    <x v="1"/>
    <n v="4.7917808219178086"/>
  </r>
  <r>
    <x v="159"/>
    <x v="1"/>
    <n v="21"/>
    <x v="0"/>
    <x v="141"/>
    <x v="3"/>
    <n v="65920"/>
    <x v="1"/>
    <n v="4.484931506849315"/>
  </r>
  <r>
    <x v="160"/>
    <x v="0"/>
    <n v="26"/>
    <x v="0"/>
    <x v="142"/>
    <x v="1"/>
    <n v="47360"/>
    <x v="1"/>
    <n v="4.7369863013698632"/>
  </r>
  <r>
    <x v="161"/>
    <x v="0"/>
    <n v="30"/>
    <x v="0"/>
    <x v="24"/>
    <x v="1"/>
    <n v="60570"/>
    <x v="1"/>
    <n v="3.5287671232876714"/>
  </r>
  <r>
    <x v="162"/>
    <x v="1"/>
    <n v="28"/>
    <x v="0"/>
    <x v="143"/>
    <x v="1"/>
    <n v="104120"/>
    <x v="1"/>
    <n v="3.5753424657534247"/>
  </r>
  <r>
    <x v="163"/>
    <x v="0"/>
    <n v="37"/>
    <x v="2"/>
    <x v="144"/>
    <x v="0"/>
    <n v="88050"/>
    <x v="1"/>
    <n v="4.4273972602739722"/>
  </r>
  <r>
    <x v="164"/>
    <x v="0"/>
    <n v="24"/>
    <x v="0"/>
    <x v="119"/>
    <x v="0"/>
    <n v="100420"/>
    <x v="1"/>
    <n v="3.473972602739726"/>
  </r>
  <r>
    <x v="165"/>
    <x v="1"/>
    <n v="30"/>
    <x v="0"/>
    <x v="128"/>
    <x v="1"/>
    <n v="114180"/>
    <x v="1"/>
    <n v="3.0246575342465754"/>
  </r>
  <r>
    <x v="166"/>
    <x v="1"/>
    <n v="21"/>
    <x v="0"/>
    <x v="145"/>
    <x v="0"/>
    <n v="33920"/>
    <x v="1"/>
    <n v="3.495890410958904"/>
  </r>
  <r>
    <x v="167"/>
    <x v="0"/>
    <n v="23"/>
    <x v="0"/>
    <x v="146"/>
    <x v="1"/>
    <n v="106460"/>
    <x v="1"/>
    <n v="4.1479452054794521"/>
  </r>
  <r>
    <x v="168"/>
    <x v="0"/>
    <n v="35"/>
    <x v="0"/>
    <x v="147"/>
    <x v="1"/>
    <n v="40400"/>
    <x v="1"/>
    <n v="3.3616438356164382"/>
  </r>
  <r>
    <x v="169"/>
    <x v="0"/>
    <n v="27"/>
    <x v="1"/>
    <x v="148"/>
    <x v="3"/>
    <n v="91650"/>
    <x v="1"/>
    <n v="4.7068493150684931"/>
  </r>
  <r>
    <x v="170"/>
    <x v="0"/>
    <n v="43"/>
    <x v="0"/>
    <x v="149"/>
    <x v="4"/>
    <n v="36040"/>
    <x v="1"/>
    <n v="3.6547945205479451"/>
  </r>
  <r>
    <x v="171"/>
    <x v="1"/>
    <n v="40"/>
    <x v="0"/>
    <x v="150"/>
    <x v="0"/>
    <n v="104410"/>
    <x v="1"/>
    <n v="4.3095890410958901"/>
  </r>
  <r>
    <x v="172"/>
    <x v="0"/>
    <n v="30"/>
    <x v="0"/>
    <x v="151"/>
    <x v="3"/>
    <n v="96800"/>
    <x v="1"/>
    <n v="3.6931506849315068"/>
  </r>
  <r>
    <x v="173"/>
    <x v="1"/>
    <n v="34"/>
    <x v="0"/>
    <x v="94"/>
    <x v="3"/>
    <n v="85000"/>
    <x v="1"/>
    <n v="4.095890410958904"/>
  </r>
  <r>
    <x v="174"/>
    <x v="0"/>
    <n v="28"/>
    <x v="4"/>
    <x v="152"/>
    <x v="4"/>
    <n v="43510"/>
    <x v="1"/>
    <n v="3.106849315068493"/>
  </r>
  <r>
    <x v="175"/>
    <x v="0"/>
    <n v="33"/>
    <x v="0"/>
    <x v="153"/>
    <x v="3"/>
    <n v="59430"/>
    <x v="1"/>
    <n v="4.6876712328767125"/>
  </r>
  <r>
    <x v="176"/>
    <x v="1"/>
    <n v="33"/>
    <x v="0"/>
    <x v="154"/>
    <x v="3"/>
    <n v="65360"/>
    <x v="1"/>
    <n v="5.1698630136986301"/>
  </r>
  <r>
    <x v="177"/>
    <x v="1"/>
    <n v="32"/>
    <x v="0"/>
    <x v="155"/>
    <x v="1"/>
    <n v="41570"/>
    <x v="1"/>
    <n v="3.6794520547945204"/>
  </r>
  <r>
    <x v="178"/>
    <x v="1"/>
    <n v="33"/>
    <x v="0"/>
    <x v="156"/>
    <x v="0"/>
    <n v="75280"/>
    <x v="1"/>
    <n v="4.4986301369863018"/>
  </r>
  <r>
    <x v="179"/>
    <x v="0"/>
    <n v="33"/>
    <x v="0"/>
    <x v="157"/>
    <x v="4"/>
    <n v="74550"/>
    <x v="1"/>
    <n v="4.2986301369863016"/>
  </r>
  <r>
    <x v="180"/>
    <x v="0"/>
    <n v="30"/>
    <x v="0"/>
    <x v="47"/>
    <x v="1"/>
    <n v="67950"/>
    <x v="1"/>
    <n v="3.4328767123287673"/>
  </r>
  <r>
    <x v="181"/>
    <x v="0"/>
    <n v="42"/>
    <x v="2"/>
    <x v="158"/>
    <x v="3"/>
    <n v="70270"/>
    <x v="1"/>
    <n v="3.3506849315068492"/>
  </r>
  <r>
    <x v="182"/>
    <x v="0"/>
    <n v="26"/>
    <x v="0"/>
    <x v="159"/>
    <x v="1"/>
    <n v="53540"/>
    <x v="1"/>
    <n v="4.22739726027397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D3425C-E62F-4F92-A30C-2BAC322A6BF8}" name="PivotTable1" cacheId="2"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olHeaderCaption="Columns">
  <location ref="F17:H22" firstHeaderRow="1" firstDataRow="2" firstDataCol="1"/>
  <pivotFields count="12">
    <pivotField dataField="1" showAll="0"/>
    <pivotField axis="axisCol" showAll="0">
      <items count="4">
        <item x="1"/>
        <item x="0"/>
        <item h="1" x="2"/>
        <item t="default"/>
      </items>
    </pivotField>
    <pivotField dataField="1" showAll="0"/>
    <pivotField showAll="0"/>
    <pivotField numFmtId="14" showAll="0">
      <items count="161">
        <item x="16"/>
        <item x="77"/>
        <item x="12"/>
        <item x="54"/>
        <item x="125"/>
        <item x="38"/>
        <item x="126"/>
        <item x="13"/>
        <item x="36"/>
        <item x="154"/>
        <item x="20"/>
        <item x="64"/>
        <item x="4"/>
        <item x="78"/>
        <item x="53"/>
        <item x="97"/>
        <item x="35"/>
        <item x="0"/>
        <item x="50"/>
        <item x="86"/>
        <item x="137"/>
        <item x="6"/>
        <item x="99"/>
        <item x="89"/>
        <item x="92"/>
        <item x="30"/>
        <item x="48"/>
        <item x="40"/>
        <item x="85"/>
        <item x="121"/>
        <item x="106"/>
        <item x="113"/>
        <item x="63"/>
        <item x="140"/>
        <item x="51"/>
        <item x="71"/>
        <item x="83"/>
        <item x="142"/>
        <item x="148"/>
        <item x="100"/>
        <item x="153"/>
        <item x="44"/>
        <item x="31"/>
        <item x="96"/>
        <item x="5"/>
        <item x="138"/>
        <item x="65"/>
        <item x="132"/>
        <item x="58"/>
        <item x="21"/>
        <item x="1"/>
        <item x="41"/>
        <item x="156"/>
        <item x="80"/>
        <item x="62"/>
        <item x="141"/>
        <item x="10"/>
        <item x="79"/>
        <item x="8"/>
        <item x="70"/>
        <item x="139"/>
        <item x="129"/>
        <item x="105"/>
        <item x="144"/>
        <item x="3"/>
        <item x="68"/>
        <item x="95"/>
        <item x="88"/>
        <item x="108"/>
        <item x="34"/>
        <item x="130"/>
        <item x="73"/>
        <item x="150"/>
        <item x="56"/>
        <item x="37"/>
        <item x="157"/>
        <item x="19"/>
        <item x="74"/>
        <item x="42"/>
        <item x="127"/>
        <item x="60"/>
        <item x="159"/>
        <item x="46"/>
        <item x="82"/>
        <item x="116"/>
        <item x="146"/>
        <item x="120"/>
        <item x="87"/>
        <item x="81"/>
        <item x="57"/>
        <item x="133"/>
        <item x="94"/>
        <item x="90"/>
        <item x="75"/>
        <item x="59"/>
        <item x="136"/>
        <item x="109"/>
        <item x="39"/>
        <item x="93"/>
        <item x="115"/>
        <item x="117"/>
        <item x="55"/>
        <item x="123"/>
        <item x="11"/>
        <item x="66"/>
        <item x="28"/>
        <item x="72"/>
        <item x="22"/>
        <item x="102"/>
        <item x="32"/>
        <item x="76"/>
        <item x="45"/>
        <item x="103"/>
        <item x="26"/>
        <item x="151"/>
        <item x="52"/>
        <item x="131"/>
        <item x="155"/>
        <item x="107"/>
        <item x="43"/>
        <item x="149"/>
        <item x="25"/>
        <item x="112"/>
        <item x="33"/>
        <item x="69"/>
        <item x="14"/>
        <item x="143"/>
        <item x="101"/>
        <item x="15"/>
        <item x="2"/>
        <item x="9"/>
        <item x="24"/>
        <item x="49"/>
        <item x="145"/>
        <item x="18"/>
        <item x="119"/>
        <item x="124"/>
        <item x="84"/>
        <item x="47"/>
        <item x="7"/>
        <item x="23"/>
        <item x="111"/>
        <item x="114"/>
        <item x="110"/>
        <item x="147"/>
        <item x="158"/>
        <item x="122"/>
        <item x="67"/>
        <item x="61"/>
        <item x="98"/>
        <item x="135"/>
        <item x="104"/>
        <item x="17"/>
        <item x="29"/>
        <item x="118"/>
        <item x="152"/>
        <item x="128"/>
        <item x="91"/>
        <item x="27"/>
        <item x="134"/>
        <item t="default"/>
      </items>
    </pivotField>
    <pivotField showAll="0"/>
    <pivotField dataField="1" numFmtId="164" showAll="0"/>
    <pivotField showAll="0">
      <items count="3">
        <item x="0"/>
        <item h="1" x="1"/>
        <item t="default"/>
      </items>
    </pivotField>
    <pivotField dataField="1" numFmtI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4">
    <i>
      <x/>
    </i>
    <i i="1">
      <x v="1"/>
    </i>
    <i i="2">
      <x v="2"/>
    </i>
    <i i="3">
      <x v="3"/>
    </i>
  </rowItems>
  <colFields count="1">
    <field x="1"/>
  </colFields>
  <colItems count="2">
    <i>
      <x/>
    </i>
    <i>
      <x v="1"/>
    </i>
  </colItems>
  <dataFields count="4">
    <dataField name="Count of Name" fld="0" subtotal="count" baseField="0" baseItem="0"/>
    <dataField name="Average of Age" fld="2" subtotal="average" baseField="0" baseItem="0"/>
    <dataField name="Average of Salary" fld="6" subtotal="average" baseField="0" baseItem="0"/>
    <dataField name="Average of Tenure" fld="8" subtotal="average" baseField="0" baseItem="0"/>
  </dataFields>
  <formats count="8">
    <format dxfId="206">
      <pivotArea collapsedLevelsAreSubtotals="1" fieldPosition="0">
        <references count="2">
          <reference field="4294967294" count="1">
            <x v="2"/>
          </reference>
          <reference field="1" count="1" selected="0">
            <x v="1"/>
          </reference>
        </references>
      </pivotArea>
    </format>
    <format dxfId="205">
      <pivotArea collapsedLevelsAreSubtotals="1" fieldPosition="0">
        <references count="2">
          <reference field="4294967294" count="1">
            <x v="2"/>
          </reference>
          <reference field="1" count="1" selected="0">
            <x v="2"/>
          </reference>
        </references>
      </pivotArea>
    </format>
    <format dxfId="204">
      <pivotArea field="1" grandCol="1" collapsedLevelsAreSubtotals="1" axis="axisCol" fieldPosition="0">
        <references count="1">
          <reference field="4294967294" count="1">
            <x v="2"/>
          </reference>
        </references>
      </pivotArea>
    </format>
    <format dxfId="203">
      <pivotArea collapsedLevelsAreSubtotals="1" fieldPosition="0">
        <references count="1">
          <reference field="4294967294" count="1">
            <x v="1"/>
          </reference>
        </references>
      </pivotArea>
    </format>
    <format dxfId="202">
      <pivotArea collapsedLevelsAreSubtotals="1" fieldPosition="0">
        <references count="1">
          <reference field="4294967294" count="1">
            <x v="3"/>
          </reference>
        </references>
      </pivotArea>
    </format>
    <format dxfId="201">
      <pivotArea collapsedLevelsAreSubtotals="1" fieldPosition="0">
        <references count="2">
          <reference field="4294967294" count="1">
            <x v="2"/>
          </reference>
          <reference field="1" count="1" selected="0">
            <x v="0"/>
          </reference>
        </references>
      </pivotArea>
    </format>
    <format dxfId="200">
      <pivotArea outline="0" collapsedLevelsAreSubtotals="1" fieldPosition="0"/>
    </format>
    <format dxfId="19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84ECC4-809C-413A-830C-01FFF2AB917F}"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17:C22" firstHeaderRow="1" firstDataRow="1" firstDataCol="1"/>
  <pivotFields count="12">
    <pivotField dataField="1" showAll="0"/>
    <pivotField showAll="0"/>
    <pivotField showAll="0"/>
    <pivotField showAll="0"/>
    <pivotField axis="axisRow" numFmtId="14" showAll="0">
      <items count="161">
        <item x="16"/>
        <item x="77"/>
        <item x="12"/>
        <item x="54"/>
        <item x="125"/>
        <item x="38"/>
        <item x="126"/>
        <item x="13"/>
        <item x="36"/>
        <item x="154"/>
        <item x="20"/>
        <item x="64"/>
        <item x="4"/>
        <item x="78"/>
        <item x="53"/>
        <item x="97"/>
        <item x="35"/>
        <item x="0"/>
        <item x="50"/>
        <item x="86"/>
        <item x="137"/>
        <item x="6"/>
        <item x="99"/>
        <item x="89"/>
        <item x="92"/>
        <item x="30"/>
        <item x="48"/>
        <item x="40"/>
        <item x="85"/>
        <item x="121"/>
        <item x="106"/>
        <item x="113"/>
        <item x="63"/>
        <item x="140"/>
        <item x="51"/>
        <item x="71"/>
        <item x="83"/>
        <item x="142"/>
        <item x="148"/>
        <item x="100"/>
        <item x="153"/>
        <item x="44"/>
        <item x="31"/>
        <item x="96"/>
        <item x="5"/>
        <item x="138"/>
        <item x="65"/>
        <item x="132"/>
        <item x="58"/>
        <item x="21"/>
        <item x="1"/>
        <item x="41"/>
        <item x="156"/>
        <item x="80"/>
        <item x="62"/>
        <item x="141"/>
        <item x="10"/>
        <item x="79"/>
        <item x="8"/>
        <item x="70"/>
        <item x="139"/>
        <item x="129"/>
        <item x="105"/>
        <item x="144"/>
        <item x="3"/>
        <item x="68"/>
        <item x="95"/>
        <item x="88"/>
        <item x="108"/>
        <item x="34"/>
        <item x="130"/>
        <item x="73"/>
        <item x="150"/>
        <item x="56"/>
        <item x="37"/>
        <item x="157"/>
        <item x="19"/>
        <item x="74"/>
        <item x="42"/>
        <item x="127"/>
        <item x="60"/>
        <item x="159"/>
        <item x="46"/>
        <item x="82"/>
        <item x="116"/>
        <item x="146"/>
        <item x="120"/>
        <item x="87"/>
        <item x="81"/>
        <item x="57"/>
        <item x="133"/>
        <item x="94"/>
        <item x="90"/>
        <item x="75"/>
        <item x="59"/>
        <item x="136"/>
        <item x="109"/>
        <item x="39"/>
        <item x="93"/>
        <item x="115"/>
        <item x="117"/>
        <item x="55"/>
        <item x="123"/>
        <item x="11"/>
        <item x="66"/>
        <item x="28"/>
        <item x="72"/>
        <item x="22"/>
        <item x="102"/>
        <item x="32"/>
        <item x="76"/>
        <item x="45"/>
        <item x="103"/>
        <item x="26"/>
        <item x="151"/>
        <item x="52"/>
        <item x="131"/>
        <item x="155"/>
        <item x="107"/>
        <item x="43"/>
        <item x="149"/>
        <item x="25"/>
        <item x="112"/>
        <item x="33"/>
        <item x="69"/>
        <item x="14"/>
        <item x="143"/>
        <item x="101"/>
        <item x="15"/>
        <item x="2"/>
        <item x="9"/>
        <item x="24"/>
        <item x="49"/>
        <item x="145"/>
        <item x="18"/>
        <item x="119"/>
        <item x="124"/>
        <item x="84"/>
        <item x="47"/>
        <item x="7"/>
        <item x="23"/>
        <item x="111"/>
        <item x="114"/>
        <item x="110"/>
        <item x="147"/>
        <item x="158"/>
        <item x="122"/>
        <item x="67"/>
        <item x="61"/>
        <item x="98"/>
        <item x="135"/>
        <item x="104"/>
        <item x="17"/>
        <item x="29"/>
        <item x="118"/>
        <item x="152"/>
        <item x="128"/>
        <item x="91"/>
        <item x="27"/>
        <item x="134"/>
        <item t="default"/>
      </items>
    </pivotField>
    <pivotField showAll="0"/>
    <pivotField numFmtId="164" showAll="0"/>
    <pivotField showAll="0"/>
    <pivotField numFmtI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3">
    <field x="11"/>
    <field x="9"/>
    <field x="4"/>
  </rowFields>
  <rowItems count="5">
    <i>
      <x v="1"/>
    </i>
    <i>
      <x v="2"/>
    </i>
    <i>
      <x v="3"/>
    </i>
    <i>
      <x v="4"/>
    </i>
    <i t="grand">
      <x/>
    </i>
  </rowItems>
  <colItems count="1">
    <i/>
  </colItems>
  <dataFields count="1">
    <dataField name="Count of Name" fld="0" subtotal="count" showDataAs="runTotal" baseField="9"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16B798-C83B-43F5-8BEE-46B7278F3DEE}"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8" firstHeaderRow="0" firstDataRow="1" firstDataCol="1"/>
  <pivotFields count="12">
    <pivotField dataField="1" showAll="0">
      <items count="184">
        <item x="83"/>
        <item x="134"/>
        <item x="31"/>
        <item x="13"/>
        <item x="132"/>
        <item x="155"/>
        <item x="57"/>
        <item x="93"/>
        <item x="25"/>
        <item x="149"/>
        <item x="36"/>
        <item x="41"/>
        <item x="168"/>
        <item x="12"/>
        <item x="89"/>
        <item x="84"/>
        <item x="14"/>
        <item x="117"/>
        <item x="64"/>
        <item x="146"/>
        <item x="95"/>
        <item x="127"/>
        <item x="102"/>
        <item x="120"/>
        <item x="33"/>
        <item x="170"/>
        <item x="114"/>
        <item x="122"/>
        <item x="171"/>
        <item x="49"/>
        <item x="162"/>
        <item x="163"/>
        <item x="69"/>
        <item x="164"/>
        <item x="172"/>
        <item x="177"/>
        <item x="116"/>
        <item x="9"/>
        <item x="15"/>
        <item x="0"/>
        <item x="56"/>
        <item x="160"/>
        <item x="156"/>
        <item x="60"/>
        <item x="38"/>
        <item x="110"/>
        <item x="174"/>
        <item x="129"/>
        <item x="180"/>
        <item x="178"/>
        <item x="169"/>
        <item x="98"/>
        <item x="115"/>
        <item x="101"/>
        <item x="143"/>
        <item x="81"/>
        <item x="21"/>
        <item x="61"/>
        <item x="179"/>
        <item x="59"/>
        <item x="124"/>
        <item x="166"/>
        <item x="34"/>
        <item x="130"/>
        <item x="97"/>
        <item x="16"/>
        <item x="44"/>
        <item x="158"/>
        <item x="165"/>
        <item x="96"/>
        <item x="82"/>
        <item x="113"/>
        <item x="138"/>
        <item x="67"/>
        <item x="50"/>
        <item x="65"/>
        <item x="70"/>
        <item x="142"/>
        <item x="154"/>
        <item x="121"/>
        <item x="105"/>
        <item x="75"/>
        <item x="48"/>
        <item x="71"/>
        <item x="173"/>
        <item x="51"/>
        <item x="106"/>
        <item x="103"/>
        <item x="131"/>
        <item x="109"/>
        <item x="137"/>
        <item x="54"/>
        <item x="167"/>
        <item x="37"/>
        <item x="45"/>
        <item x="66"/>
        <item x="58"/>
        <item x="73"/>
        <item x="135"/>
        <item x="140"/>
        <item x="92"/>
        <item x="125"/>
        <item x="153"/>
        <item x="3"/>
        <item x="68"/>
        <item x="148"/>
        <item x="79"/>
        <item x="29"/>
        <item x="161"/>
        <item x="10"/>
        <item x="52"/>
        <item x="159"/>
        <item x="118"/>
        <item x="5"/>
        <item x="11"/>
        <item x="136"/>
        <item x="104"/>
        <item x="175"/>
        <item x="145"/>
        <item x="23"/>
        <item x="35"/>
        <item x="119"/>
        <item x="112"/>
        <item x="157"/>
        <item x="108"/>
        <item x="90"/>
        <item x="85"/>
        <item x="26"/>
        <item x="28"/>
        <item x="6"/>
        <item x="147"/>
        <item x="72"/>
        <item x="27"/>
        <item x="88"/>
        <item x="123"/>
        <item x="7"/>
        <item x="62"/>
        <item x="76"/>
        <item x="74"/>
        <item x="4"/>
        <item x="40"/>
        <item x="20"/>
        <item x="53"/>
        <item x="77"/>
        <item x="78"/>
        <item x="2"/>
        <item x="63"/>
        <item x="111"/>
        <item x="47"/>
        <item x="181"/>
        <item x="17"/>
        <item x="46"/>
        <item x="30"/>
        <item x="24"/>
        <item x="19"/>
        <item x="43"/>
        <item x="86"/>
        <item x="133"/>
        <item x="107"/>
        <item x="80"/>
        <item x="91"/>
        <item x="42"/>
        <item x="94"/>
        <item x="141"/>
        <item x="176"/>
        <item x="128"/>
        <item x="144"/>
        <item x="18"/>
        <item x="55"/>
        <item x="150"/>
        <item x="139"/>
        <item x="39"/>
        <item x="32"/>
        <item x="99"/>
        <item x="87"/>
        <item x="126"/>
        <item x="151"/>
        <item x="22"/>
        <item x="100"/>
        <item x="152"/>
        <item x="1"/>
        <item x="8"/>
        <item x="182"/>
        <item t="default"/>
      </items>
    </pivotField>
    <pivotField showAll="0"/>
    <pivotField showAll="0"/>
    <pivotField axis="axisRow" showAll="0">
      <items count="6">
        <item x="3"/>
        <item x="1"/>
        <item x="0"/>
        <item x="2"/>
        <item x="4"/>
        <item t="default"/>
      </items>
    </pivotField>
    <pivotField numFmtId="14" showAll="0">
      <items count="161">
        <item x="16"/>
        <item x="77"/>
        <item x="12"/>
        <item x="54"/>
        <item x="125"/>
        <item x="38"/>
        <item x="126"/>
        <item x="13"/>
        <item x="36"/>
        <item x="154"/>
        <item x="20"/>
        <item x="64"/>
        <item x="4"/>
        <item x="78"/>
        <item x="53"/>
        <item x="97"/>
        <item x="35"/>
        <item x="0"/>
        <item x="50"/>
        <item x="86"/>
        <item x="137"/>
        <item x="6"/>
        <item x="99"/>
        <item x="89"/>
        <item x="92"/>
        <item x="30"/>
        <item x="48"/>
        <item x="40"/>
        <item x="85"/>
        <item x="121"/>
        <item x="106"/>
        <item x="113"/>
        <item x="63"/>
        <item x="140"/>
        <item x="51"/>
        <item x="71"/>
        <item x="83"/>
        <item x="142"/>
        <item x="148"/>
        <item x="100"/>
        <item x="153"/>
        <item x="44"/>
        <item x="31"/>
        <item x="96"/>
        <item x="5"/>
        <item x="138"/>
        <item x="65"/>
        <item x="132"/>
        <item x="58"/>
        <item x="21"/>
        <item x="1"/>
        <item x="41"/>
        <item x="156"/>
        <item x="80"/>
        <item x="62"/>
        <item x="141"/>
        <item x="10"/>
        <item x="79"/>
        <item x="8"/>
        <item x="70"/>
        <item x="139"/>
        <item x="129"/>
        <item x="105"/>
        <item x="144"/>
        <item x="3"/>
        <item x="68"/>
        <item x="95"/>
        <item x="88"/>
        <item x="108"/>
        <item x="34"/>
        <item x="130"/>
        <item x="73"/>
        <item x="150"/>
        <item x="56"/>
        <item x="37"/>
        <item x="157"/>
        <item x="19"/>
        <item x="74"/>
        <item x="42"/>
        <item x="127"/>
        <item x="60"/>
        <item x="159"/>
        <item x="46"/>
        <item x="82"/>
        <item x="116"/>
        <item x="146"/>
        <item x="120"/>
        <item x="87"/>
        <item x="81"/>
        <item x="57"/>
        <item x="133"/>
        <item x="94"/>
        <item x="90"/>
        <item x="75"/>
        <item x="59"/>
        <item x="136"/>
        <item x="109"/>
        <item x="39"/>
        <item x="93"/>
        <item x="115"/>
        <item x="117"/>
        <item x="55"/>
        <item x="123"/>
        <item x="11"/>
        <item x="66"/>
        <item x="28"/>
        <item x="72"/>
        <item x="22"/>
        <item x="102"/>
        <item x="32"/>
        <item x="76"/>
        <item x="45"/>
        <item x="103"/>
        <item x="26"/>
        <item x="151"/>
        <item x="52"/>
        <item x="131"/>
        <item x="155"/>
        <item x="107"/>
        <item x="43"/>
        <item x="149"/>
        <item x="25"/>
        <item x="112"/>
        <item x="33"/>
        <item x="69"/>
        <item x="14"/>
        <item x="143"/>
        <item x="101"/>
        <item x="15"/>
        <item x="2"/>
        <item x="9"/>
        <item x="24"/>
        <item x="49"/>
        <item x="145"/>
        <item x="18"/>
        <item x="119"/>
        <item x="124"/>
        <item x="84"/>
        <item x="47"/>
        <item x="7"/>
        <item x="23"/>
        <item x="111"/>
        <item x="114"/>
        <item x="110"/>
        <item x="147"/>
        <item x="158"/>
        <item x="122"/>
        <item x="67"/>
        <item x="61"/>
        <item x="98"/>
        <item x="135"/>
        <item x="104"/>
        <item x="17"/>
        <item x="29"/>
        <item x="118"/>
        <item x="152"/>
        <item x="128"/>
        <item x="91"/>
        <item x="27"/>
        <item x="134"/>
        <item t="default"/>
      </items>
    </pivotField>
    <pivotField showAll="0"/>
    <pivotField dataField="1" numFmtId="164" showAll="0"/>
    <pivotField showAll="0"/>
    <pivotField numFmtI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6">
    <i>
      <x/>
    </i>
    <i>
      <x v="1"/>
    </i>
    <i>
      <x v="2"/>
    </i>
    <i>
      <x v="3"/>
    </i>
    <i>
      <x v="4"/>
    </i>
    <i t="grand">
      <x/>
    </i>
  </rowItems>
  <colFields count="1">
    <field x="-2"/>
  </colFields>
  <colItems count="2">
    <i>
      <x/>
    </i>
    <i i="1">
      <x v="1"/>
    </i>
  </colItems>
  <dataFields count="2">
    <dataField name="Count of Name" fld="0" subtotal="count" baseField="0" baseItem="0"/>
    <dataField name="Average of Salary" fld="6" subtotal="average" baseField="0" baseItem="0" numFmtId="166"/>
  </dataFields>
  <formats count="2">
    <format dxfId="198">
      <pivotArea collapsedLevelsAreSubtotals="1" fieldPosition="0">
        <references count="2">
          <reference field="4294967294" count="1" selected="0">
            <x v="1"/>
          </reference>
          <reference field="3" count="1">
            <x v="1"/>
          </reference>
        </references>
      </pivotArea>
    </format>
    <format dxfId="197">
      <pivotArea outline="0" collapsedLevelsAreSubtotals="1" fieldPosition="0">
        <references count="1">
          <reference field="4294967294" count="1" selected="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F39DBC-3004-4B0D-85EB-2622FF08DAC3}"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S5:T11" firstHeaderRow="1" firstDataRow="1" firstDataCol="1" rowPageCount="1" colPageCount="1"/>
  <pivotFields count="12">
    <pivotField dataField="1" showAll="0">
      <items count="184">
        <item x="83"/>
        <item x="134"/>
        <item x="31"/>
        <item x="13"/>
        <item x="132"/>
        <item x="155"/>
        <item x="57"/>
        <item x="93"/>
        <item x="25"/>
        <item x="149"/>
        <item x="36"/>
        <item x="41"/>
        <item x="168"/>
        <item x="12"/>
        <item x="89"/>
        <item x="84"/>
        <item x="14"/>
        <item x="117"/>
        <item x="64"/>
        <item x="146"/>
        <item x="95"/>
        <item x="127"/>
        <item x="102"/>
        <item x="120"/>
        <item x="33"/>
        <item x="170"/>
        <item x="114"/>
        <item x="122"/>
        <item x="171"/>
        <item x="49"/>
        <item x="162"/>
        <item x="163"/>
        <item x="69"/>
        <item x="164"/>
        <item x="172"/>
        <item x="177"/>
        <item x="116"/>
        <item x="9"/>
        <item x="15"/>
        <item x="0"/>
        <item x="56"/>
        <item x="160"/>
        <item x="156"/>
        <item x="60"/>
        <item x="38"/>
        <item x="110"/>
        <item x="174"/>
        <item x="129"/>
        <item x="180"/>
        <item x="178"/>
        <item x="169"/>
        <item x="98"/>
        <item x="115"/>
        <item x="101"/>
        <item x="143"/>
        <item x="81"/>
        <item x="21"/>
        <item x="61"/>
        <item x="179"/>
        <item x="59"/>
        <item x="124"/>
        <item x="166"/>
        <item x="34"/>
        <item x="130"/>
        <item x="97"/>
        <item x="16"/>
        <item x="44"/>
        <item x="158"/>
        <item x="165"/>
        <item x="96"/>
        <item x="82"/>
        <item x="113"/>
        <item x="138"/>
        <item x="67"/>
        <item x="50"/>
        <item x="65"/>
        <item x="70"/>
        <item x="142"/>
        <item x="154"/>
        <item x="121"/>
        <item x="105"/>
        <item x="75"/>
        <item x="48"/>
        <item x="71"/>
        <item x="173"/>
        <item x="51"/>
        <item x="106"/>
        <item x="103"/>
        <item x="131"/>
        <item x="109"/>
        <item x="137"/>
        <item x="54"/>
        <item x="167"/>
        <item x="37"/>
        <item x="45"/>
        <item x="66"/>
        <item x="58"/>
        <item x="73"/>
        <item x="135"/>
        <item x="140"/>
        <item x="92"/>
        <item x="125"/>
        <item x="153"/>
        <item x="3"/>
        <item x="68"/>
        <item x="148"/>
        <item x="79"/>
        <item x="29"/>
        <item x="161"/>
        <item x="10"/>
        <item x="52"/>
        <item x="159"/>
        <item x="118"/>
        <item x="5"/>
        <item x="11"/>
        <item x="136"/>
        <item x="104"/>
        <item x="175"/>
        <item x="145"/>
        <item x="23"/>
        <item x="35"/>
        <item x="119"/>
        <item x="112"/>
        <item x="157"/>
        <item x="108"/>
        <item x="90"/>
        <item x="85"/>
        <item x="26"/>
        <item x="28"/>
        <item x="6"/>
        <item x="147"/>
        <item x="72"/>
        <item x="27"/>
        <item x="88"/>
        <item x="123"/>
        <item x="7"/>
        <item x="62"/>
        <item x="76"/>
        <item x="74"/>
        <item x="4"/>
        <item x="40"/>
        <item x="20"/>
        <item x="53"/>
        <item x="77"/>
        <item x="78"/>
        <item x="2"/>
        <item x="63"/>
        <item x="111"/>
        <item x="47"/>
        <item x="181"/>
        <item x="17"/>
        <item x="46"/>
        <item x="30"/>
        <item x="24"/>
        <item x="19"/>
        <item x="43"/>
        <item x="86"/>
        <item x="133"/>
        <item x="107"/>
        <item x="80"/>
        <item x="91"/>
        <item x="42"/>
        <item x="94"/>
        <item x="141"/>
        <item x="176"/>
        <item x="128"/>
        <item x="144"/>
        <item x="18"/>
        <item x="55"/>
        <item x="150"/>
        <item x="139"/>
        <item x="39"/>
        <item x="32"/>
        <item x="99"/>
        <item x="87"/>
        <item x="126"/>
        <item x="151"/>
        <item x="22"/>
        <item x="100"/>
        <item x="152"/>
        <item x="1"/>
        <item x="8"/>
        <item x="182"/>
        <item t="default"/>
      </items>
    </pivotField>
    <pivotField showAll="0"/>
    <pivotField showAll="0"/>
    <pivotField showAll="0"/>
    <pivotField numFmtId="14" showAll="0">
      <items count="161">
        <item x="16"/>
        <item x="77"/>
        <item x="12"/>
        <item x="54"/>
        <item x="125"/>
        <item x="38"/>
        <item x="126"/>
        <item x="13"/>
        <item x="36"/>
        <item x="154"/>
        <item x="20"/>
        <item x="64"/>
        <item x="4"/>
        <item x="78"/>
        <item x="53"/>
        <item x="97"/>
        <item x="35"/>
        <item x="0"/>
        <item x="50"/>
        <item x="86"/>
        <item x="137"/>
        <item x="6"/>
        <item x="99"/>
        <item x="89"/>
        <item x="92"/>
        <item x="30"/>
        <item x="48"/>
        <item x="40"/>
        <item x="85"/>
        <item x="121"/>
        <item x="106"/>
        <item x="113"/>
        <item x="63"/>
        <item x="140"/>
        <item x="51"/>
        <item x="71"/>
        <item x="83"/>
        <item x="142"/>
        <item x="148"/>
        <item x="100"/>
        <item x="153"/>
        <item x="44"/>
        <item x="31"/>
        <item x="96"/>
        <item x="5"/>
        <item x="138"/>
        <item x="65"/>
        <item x="132"/>
        <item x="58"/>
        <item x="21"/>
        <item x="1"/>
        <item x="41"/>
        <item x="156"/>
        <item x="80"/>
        <item x="62"/>
        <item x="141"/>
        <item x="10"/>
        <item x="79"/>
        <item x="8"/>
        <item x="70"/>
        <item x="139"/>
        <item x="129"/>
        <item x="105"/>
        <item x="144"/>
        <item x="3"/>
        <item x="68"/>
        <item x="95"/>
        <item x="88"/>
        <item x="108"/>
        <item x="34"/>
        <item x="130"/>
        <item x="73"/>
        <item x="150"/>
        <item x="56"/>
        <item x="37"/>
        <item x="157"/>
        <item x="19"/>
        <item x="74"/>
        <item x="42"/>
        <item x="127"/>
        <item x="60"/>
        <item x="159"/>
        <item x="46"/>
        <item x="82"/>
        <item x="116"/>
        <item x="146"/>
        <item x="120"/>
        <item x="87"/>
        <item x="81"/>
        <item x="57"/>
        <item x="133"/>
        <item x="94"/>
        <item x="90"/>
        <item x="75"/>
        <item x="59"/>
        <item x="136"/>
        <item x="109"/>
        <item x="39"/>
        <item x="93"/>
        <item x="115"/>
        <item x="117"/>
        <item x="55"/>
        <item x="123"/>
        <item x="11"/>
        <item x="66"/>
        <item x="28"/>
        <item x="72"/>
        <item x="22"/>
        <item x="102"/>
        <item x="32"/>
        <item x="76"/>
        <item x="45"/>
        <item x="103"/>
        <item x="26"/>
        <item x="151"/>
        <item x="52"/>
        <item x="131"/>
        <item x="155"/>
        <item x="107"/>
        <item x="43"/>
        <item x="149"/>
        <item x="25"/>
        <item x="112"/>
        <item x="33"/>
        <item x="69"/>
        <item x="14"/>
        <item x="143"/>
        <item x="101"/>
        <item x="15"/>
        <item x="2"/>
        <item x="9"/>
        <item x="24"/>
        <item x="49"/>
        <item x="145"/>
        <item x="18"/>
        <item x="119"/>
        <item x="124"/>
        <item x="84"/>
        <item x="47"/>
        <item x="7"/>
        <item x="23"/>
        <item x="111"/>
        <item x="114"/>
        <item x="110"/>
        <item x="147"/>
        <item x="158"/>
        <item x="122"/>
        <item x="67"/>
        <item x="61"/>
        <item x="98"/>
        <item x="135"/>
        <item x="104"/>
        <item x="17"/>
        <item x="29"/>
        <item x="118"/>
        <item x="152"/>
        <item x="128"/>
        <item x="91"/>
        <item x="27"/>
        <item x="134"/>
        <item t="default"/>
      </items>
    </pivotField>
    <pivotField axis="axisRow" showAll="0" sortType="descending">
      <items count="6">
        <item x="3"/>
        <item x="2"/>
        <item x="1"/>
        <item x="4"/>
        <item x="0"/>
        <item t="default"/>
      </items>
      <autoSortScope>
        <pivotArea dataOnly="0" outline="0" fieldPosition="0">
          <references count="1">
            <reference field="4294967294" count="1" selected="0">
              <x v="0"/>
            </reference>
          </references>
        </pivotArea>
      </autoSortScope>
    </pivotField>
    <pivotField numFmtId="164" showAll="0"/>
    <pivotField axis="axisPage" showAll="0">
      <items count="3">
        <item x="0"/>
        <item x="1"/>
        <item t="default"/>
      </items>
    </pivotField>
    <pivotField numFmtId="1" showAll="0"/>
    <pivotField showAll="0" defaultSubtotal="0"/>
    <pivotField showAll="0" defaultSubtotal="0"/>
    <pivotField showAll="0" defaultSubtotal="0">
      <items count="6">
        <item x="0"/>
        <item x="1"/>
        <item x="2"/>
        <item x="3"/>
        <item x="4"/>
        <item x="5"/>
      </items>
    </pivotField>
  </pivotFields>
  <rowFields count="1">
    <field x="5"/>
  </rowFields>
  <rowItems count="6">
    <i>
      <x v="4"/>
    </i>
    <i>
      <x v="2"/>
    </i>
    <i>
      <x/>
    </i>
    <i>
      <x v="3"/>
    </i>
    <i>
      <x v="1"/>
    </i>
    <i t="grand">
      <x/>
    </i>
  </rowItems>
  <colItems count="1">
    <i/>
  </colItems>
  <pageFields count="1">
    <pageField fld="7" item="1" hier="-1"/>
  </pageFields>
  <dataFields count="1">
    <dataField name="Count of Name" fld="0" subtotal="count" baseField="0" baseItem="0"/>
  </dataFields>
  <formats count="6">
    <format dxfId="189">
      <pivotArea type="all" dataOnly="0" outline="0" fieldPosition="0"/>
    </format>
    <format dxfId="188">
      <pivotArea outline="0" collapsedLevelsAreSubtotals="1" fieldPosition="0"/>
    </format>
    <format dxfId="187">
      <pivotArea field="5" type="button" dataOnly="0" labelOnly="1" outline="0" axis="axisRow" fieldPosition="0"/>
    </format>
    <format dxfId="186">
      <pivotArea dataOnly="0" labelOnly="1" fieldPosition="0">
        <references count="1">
          <reference field="5" count="0"/>
        </references>
      </pivotArea>
    </format>
    <format dxfId="185">
      <pivotArea dataOnly="0" labelOnly="1" grandRow="1" outline="0" fieldPosition="0"/>
    </format>
    <format dxfId="184">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283A73-01C1-43C7-857D-44DBC800B6A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P5:Q11" firstHeaderRow="1" firstDataRow="1" firstDataCol="1" rowPageCount="1" colPageCount="1"/>
  <pivotFields count="12">
    <pivotField dataField="1" showAll="0">
      <items count="184">
        <item x="83"/>
        <item x="134"/>
        <item x="31"/>
        <item x="13"/>
        <item x="132"/>
        <item x="155"/>
        <item x="57"/>
        <item x="93"/>
        <item x="25"/>
        <item x="149"/>
        <item x="36"/>
        <item x="41"/>
        <item x="168"/>
        <item x="12"/>
        <item x="89"/>
        <item x="84"/>
        <item x="14"/>
        <item x="117"/>
        <item x="64"/>
        <item x="146"/>
        <item x="95"/>
        <item x="127"/>
        <item x="102"/>
        <item x="120"/>
        <item x="33"/>
        <item x="170"/>
        <item x="114"/>
        <item x="122"/>
        <item x="171"/>
        <item x="49"/>
        <item x="162"/>
        <item x="163"/>
        <item x="69"/>
        <item x="164"/>
        <item x="172"/>
        <item x="177"/>
        <item x="116"/>
        <item x="9"/>
        <item x="15"/>
        <item x="0"/>
        <item x="56"/>
        <item x="160"/>
        <item x="156"/>
        <item x="60"/>
        <item x="38"/>
        <item x="110"/>
        <item x="174"/>
        <item x="129"/>
        <item x="180"/>
        <item x="178"/>
        <item x="169"/>
        <item x="98"/>
        <item x="115"/>
        <item x="101"/>
        <item x="143"/>
        <item x="81"/>
        <item x="21"/>
        <item x="61"/>
        <item x="179"/>
        <item x="59"/>
        <item x="124"/>
        <item x="166"/>
        <item x="34"/>
        <item x="130"/>
        <item x="97"/>
        <item x="16"/>
        <item x="44"/>
        <item x="158"/>
        <item x="165"/>
        <item x="96"/>
        <item x="82"/>
        <item x="113"/>
        <item x="138"/>
        <item x="67"/>
        <item x="50"/>
        <item x="65"/>
        <item x="70"/>
        <item x="142"/>
        <item x="154"/>
        <item x="121"/>
        <item x="105"/>
        <item x="75"/>
        <item x="48"/>
        <item x="71"/>
        <item x="173"/>
        <item x="51"/>
        <item x="106"/>
        <item x="103"/>
        <item x="131"/>
        <item x="109"/>
        <item x="137"/>
        <item x="54"/>
        <item x="167"/>
        <item x="37"/>
        <item x="45"/>
        <item x="66"/>
        <item x="58"/>
        <item x="73"/>
        <item x="135"/>
        <item x="140"/>
        <item x="92"/>
        <item x="125"/>
        <item x="153"/>
        <item x="3"/>
        <item x="68"/>
        <item x="148"/>
        <item x="79"/>
        <item x="29"/>
        <item x="161"/>
        <item x="10"/>
        <item x="52"/>
        <item x="159"/>
        <item x="118"/>
        <item x="5"/>
        <item x="11"/>
        <item x="136"/>
        <item x="104"/>
        <item x="175"/>
        <item x="145"/>
        <item x="23"/>
        <item x="35"/>
        <item x="119"/>
        <item x="112"/>
        <item x="157"/>
        <item x="108"/>
        <item x="90"/>
        <item x="85"/>
        <item x="26"/>
        <item x="28"/>
        <item x="6"/>
        <item x="147"/>
        <item x="72"/>
        <item x="27"/>
        <item x="88"/>
        <item x="123"/>
        <item x="7"/>
        <item x="62"/>
        <item x="76"/>
        <item x="74"/>
        <item x="4"/>
        <item x="40"/>
        <item x="20"/>
        <item x="53"/>
        <item x="77"/>
        <item x="78"/>
        <item x="2"/>
        <item x="63"/>
        <item x="111"/>
        <item x="47"/>
        <item x="181"/>
        <item x="17"/>
        <item x="46"/>
        <item x="30"/>
        <item x="24"/>
        <item x="19"/>
        <item x="43"/>
        <item x="86"/>
        <item x="133"/>
        <item x="107"/>
        <item x="80"/>
        <item x="91"/>
        <item x="42"/>
        <item x="94"/>
        <item x="141"/>
        <item x="176"/>
        <item x="128"/>
        <item x="144"/>
        <item x="18"/>
        <item x="55"/>
        <item x="150"/>
        <item x="139"/>
        <item x="39"/>
        <item x="32"/>
        <item x="99"/>
        <item x="87"/>
        <item x="126"/>
        <item x="151"/>
        <item x="22"/>
        <item x="100"/>
        <item x="152"/>
        <item x="1"/>
        <item x="8"/>
        <item x="182"/>
        <item t="default"/>
      </items>
    </pivotField>
    <pivotField showAll="0"/>
    <pivotField showAll="0"/>
    <pivotField showAll="0"/>
    <pivotField numFmtId="14" showAll="0">
      <items count="161">
        <item x="16"/>
        <item x="77"/>
        <item x="12"/>
        <item x="54"/>
        <item x="125"/>
        <item x="38"/>
        <item x="126"/>
        <item x="13"/>
        <item x="36"/>
        <item x="154"/>
        <item x="20"/>
        <item x="64"/>
        <item x="4"/>
        <item x="78"/>
        <item x="53"/>
        <item x="97"/>
        <item x="35"/>
        <item x="0"/>
        <item x="50"/>
        <item x="86"/>
        <item x="137"/>
        <item x="6"/>
        <item x="99"/>
        <item x="89"/>
        <item x="92"/>
        <item x="30"/>
        <item x="48"/>
        <item x="40"/>
        <item x="85"/>
        <item x="121"/>
        <item x="106"/>
        <item x="113"/>
        <item x="63"/>
        <item x="140"/>
        <item x="51"/>
        <item x="71"/>
        <item x="83"/>
        <item x="142"/>
        <item x="148"/>
        <item x="100"/>
        <item x="153"/>
        <item x="44"/>
        <item x="31"/>
        <item x="96"/>
        <item x="5"/>
        <item x="138"/>
        <item x="65"/>
        <item x="132"/>
        <item x="58"/>
        <item x="21"/>
        <item x="1"/>
        <item x="41"/>
        <item x="156"/>
        <item x="80"/>
        <item x="62"/>
        <item x="141"/>
        <item x="10"/>
        <item x="79"/>
        <item x="8"/>
        <item x="70"/>
        <item x="139"/>
        <item x="129"/>
        <item x="105"/>
        <item x="144"/>
        <item x="3"/>
        <item x="68"/>
        <item x="95"/>
        <item x="88"/>
        <item x="108"/>
        <item x="34"/>
        <item x="130"/>
        <item x="73"/>
        <item x="150"/>
        <item x="56"/>
        <item x="37"/>
        <item x="157"/>
        <item x="19"/>
        <item x="74"/>
        <item x="42"/>
        <item x="127"/>
        <item x="60"/>
        <item x="159"/>
        <item x="46"/>
        <item x="82"/>
        <item x="116"/>
        <item x="146"/>
        <item x="120"/>
        <item x="87"/>
        <item x="81"/>
        <item x="57"/>
        <item x="133"/>
        <item x="94"/>
        <item x="90"/>
        <item x="75"/>
        <item x="59"/>
        <item x="136"/>
        <item x="109"/>
        <item x="39"/>
        <item x="93"/>
        <item x="115"/>
        <item x="117"/>
        <item x="55"/>
        <item x="123"/>
        <item x="11"/>
        <item x="66"/>
        <item x="28"/>
        <item x="72"/>
        <item x="22"/>
        <item x="102"/>
        <item x="32"/>
        <item x="76"/>
        <item x="45"/>
        <item x="103"/>
        <item x="26"/>
        <item x="151"/>
        <item x="52"/>
        <item x="131"/>
        <item x="155"/>
        <item x="107"/>
        <item x="43"/>
        <item x="149"/>
        <item x="25"/>
        <item x="112"/>
        <item x="33"/>
        <item x="69"/>
        <item x="14"/>
        <item x="143"/>
        <item x="101"/>
        <item x="15"/>
        <item x="2"/>
        <item x="9"/>
        <item x="24"/>
        <item x="49"/>
        <item x="145"/>
        <item x="18"/>
        <item x="119"/>
        <item x="124"/>
        <item x="84"/>
        <item x="47"/>
        <item x="7"/>
        <item x="23"/>
        <item x="111"/>
        <item x="114"/>
        <item x="110"/>
        <item x="147"/>
        <item x="158"/>
        <item x="122"/>
        <item x="67"/>
        <item x="61"/>
        <item x="98"/>
        <item x="135"/>
        <item x="104"/>
        <item x="17"/>
        <item x="29"/>
        <item x="118"/>
        <item x="152"/>
        <item x="128"/>
        <item x="91"/>
        <item x="27"/>
        <item x="134"/>
        <item t="default"/>
      </items>
    </pivotField>
    <pivotField axis="axisRow" showAll="0" sortType="descending">
      <items count="6">
        <item x="3"/>
        <item x="2"/>
        <item x="1"/>
        <item x="4"/>
        <item x="0"/>
        <item t="default"/>
      </items>
      <autoSortScope>
        <pivotArea dataOnly="0" outline="0" fieldPosition="0">
          <references count="1">
            <reference field="4294967294" count="1" selected="0">
              <x v="0"/>
            </reference>
          </references>
        </pivotArea>
      </autoSortScope>
    </pivotField>
    <pivotField numFmtId="164" showAll="0"/>
    <pivotField axis="axisPage" showAll="0">
      <items count="3">
        <item x="0"/>
        <item x="1"/>
        <item t="default"/>
      </items>
    </pivotField>
    <pivotField numFmtId="1" showAll="0"/>
    <pivotField showAll="0" defaultSubtotal="0"/>
    <pivotField showAll="0" defaultSubtotal="0"/>
    <pivotField showAll="0" defaultSubtotal="0">
      <items count="6">
        <item x="0"/>
        <item x="1"/>
        <item x="2"/>
        <item x="3"/>
        <item x="4"/>
        <item x="5"/>
      </items>
    </pivotField>
  </pivotFields>
  <rowFields count="1">
    <field x="5"/>
  </rowFields>
  <rowItems count="6">
    <i>
      <x v="2"/>
    </i>
    <i>
      <x v="4"/>
    </i>
    <i>
      <x/>
    </i>
    <i>
      <x v="3"/>
    </i>
    <i>
      <x v="1"/>
    </i>
    <i t="grand">
      <x/>
    </i>
  </rowItems>
  <colItems count="1">
    <i/>
  </colItems>
  <pageFields count="1">
    <pageField fld="7" item="0" hier="-1"/>
  </pageFields>
  <dataFields count="1">
    <dataField name="Count of Name" fld="0" subtotal="count" baseField="0" baseItem="0"/>
  </dataFields>
  <formats count="6">
    <format dxfId="195">
      <pivotArea type="all" dataOnly="0" outline="0" fieldPosition="0"/>
    </format>
    <format dxfId="194">
      <pivotArea outline="0" collapsedLevelsAreSubtotals="1" fieldPosition="0"/>
    </format>
    <format dxfId="193">
      <pivotArea field="5" type="button" dataOnly="0" labelOnly="1" outline="0" axis="axisRow" fieldPosition="0"/>
    </format>
    <format dxfId="192">
      <pivotArea dataOnly="0" labelOnly="1" fieldPosition="0">
        <references count="1">
          <reference field="5" count="0"/>
        </references>
      </pivotArea>
    </format>
    <format dxfId="191">
      <pivotArea dataOnly="0" labelOnly="1" grandRow="1" outline="0" fieldPosition="0"/>
    </format>
    <format dxfId="190">
      <pivotArea dataOnly="0" labelOnly="1" outline="0" axis="axisValues" fieldPosition="0"/>
    </format>
  </formats>
  <chartFormats count="1">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77C3C470-E6CD-4F07-B522-2343FB891D7C}"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3974B94-8461-4DF9-932D-B7443E0B9D7E}" sourceName="Country">
  <pivotTables>
    <pivotTable tabId="7" name="PivotTable1"/>
  </pivotTables>
  <data>
    <tabular pivotCacheId="1664530481">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23BAA57-1771-4E1B-946B-20953DA199F9}" cache="Slicer_Country" caption="Country"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367C0B-BFEE-4868-9D40-3145F0DC502F}" name="nz_staff" displayName="nz_staff" ref="C5:I106" totalsRowCount="1">
  <autoFilter ref="C5:I105" xr:uid="{DF367C0B-BFEE-4868-9D40-3145F0DC502F}"/>
  <tableColumns count="7">
    <tableColumn id="1" xr3:uid="{5984BB21-E9F1-4F45-9478-C855466E36B0}" name="name" totalsRowLabel="Total"/>
    <tableColumn id="2" xr3:uid="{B4C3EE69-403B-47B1-B341-890A8541057E}" name="Gender"/>
    <tableColumn id="3" xr3:uid="{AA9C3CC2-DD11-42A5-9E6A-8897180891D7}" name="Department"/>
    <tableColumn id="4" xr3:uid="{F9A20C9F-1055-43F6-9478-69EDC75852E6}" name="Age" totalsRowFunction="average"/>
    <tableColumn id="5" xr3:uid="{CE452B5E-415A-45CC-9BA7-34782F1B3805}" name="Date Joined" dataDxfId="223" totalsRowDxfId="222"/>
    <tableColumn id="6" xr3:uid="{CCD71CF1-8C84-4EF1-BF35-13771E1CAA52}" name="Salary" totalsRowFunction="average" dataDxfId="221" totalsRowDxfId="220" dataCellStyle="Currency [0]" totalsRowCellStyle="Currency [0]"/>
    <tableColumn id="7" xr3:uid="{0CCC9602-D1E7-48BB-8920-96A6846C04C8}"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5DAA562-83B8-40D0-9B9D-163671F740E8}" name="indian_staff" displayName="indian_staff" ref="B2:H114" totalsRowShown="0" headerRowDxfId="219">
  <autoFilter ref="B2:H114" xr:uid="{15DAA562-83B8-40D0-9B9D-163671F740E8}"/>
  <tableColumns count="7">
    <tableColumn id="1" xr3:uid="{16D68B37-073F-4864-85D1-24776AAE447C}" name="Name"/>
    <tableColumn id="2" xr3:uid="{9E4AABA0-DFB0-4D6A-899C-DD83081E7B8F}" name="Gender"/>
    <tableColumn id="3" xr3:uid="{FCA8D98B-C433-4D3B-8B16-21544FBD30CC}" name="Age"/>
    <tableColumn id="4" xr3:uid="{DF4EFDBF-AD4A-4216-BAE5-C6A4181EB1F1}" name="Rating"/>
    <tableColumn id="5" xr3:uid="{CC5F5DCE-771D-4B21-A48C-EDD454164CF7}" name="Date Joined" dataDxfId="218"/>
    <tableColumn id="6" xr3:uid="{A1D9A4B5-81B7-4B74-9758-4FA0F3C28C33}" name="Department"/>
    <tableColumn id="7" xr3:uid="{59970943-3049-482D-A233-B6347BEF72FC}" name="Salary"/>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880FEB-762F-4584-B67A-93B1FC567A33}" name="staff" displayName="staff" ref="A1:K184" tableType="queryTable" totalsRowShown="0">
  <autoFilter ref="A1:K184" xr:uid="{86880FEB-762F-4584-B67A-93B1FC567A33}"/>
  <sortState xmlns:xlrd2="http://schemas.microsoft.com/office/spreadsheetml/2017/richdata2" ref="A2:J184">
    <sortCondition ref="G1:G184"/>
  </sortState>
  <tableColumns count="11">
    <tableColumn id="1" xr3:uid="{E8749AA4-D35D-464F-880B-E3519FC42DF9}" uniqueName="1" name="Name" queryTableFieldId="1" dataDxfId="217"/>
    <tableColumn id="2" xr3:uid="{48E4184A-1EDB-4533-B1E4-01D9B4603218}" uniqueName="2" name="Gender" queryTableFieldId="2" dataDxfId="216"/>
    <tableColumn id="3" xr3:uid="{593ECD38-D2A2-41CD-B5A5-665060AFA35E}" uniqueName="3" name="Age" queryTableFieldId="3" dataDxfId="215"/>
    <tableColumn id="4" xr3:uid="{B1705883-FA03-4284-92C0-6526A6CC04DF}" uniqueName="4" name="Rating" queryTableFieldId="4" dataDxfId="214"/>
    <tableColumn id="5" xr3:uid="{66A732DC-03D7-4C1A-839F-2ACB647DD3C7}" uniqueName="5" name="Date Joined" queryTableFieldId="5" dataDxfId="213"/>
    <tableColumn id="6" xr3:uid="{A8A0D2F3-8497-4A2C-B8AF-F810D87E4999}" uniqueName="6" name="Department" queryTableFieldId="6" dataDxfId="212"/>
    <tableColumn id="7" xr3:uid="{7D0F7B15-DF06-41FF-A154-34A9B12E3C8B}" uniqueName="7" name="Salary" queryTableFieldId="7" dataDxfId="211"/>
    <tableColumn id="8" xr3:uid="{FE22D4B9-C03C-411F-A5FD-1DED09FD1D6C}" uniqueName="8" name="Country" queryTableFieldId="8" dataDxfId="210"/>
    <tableColumn id="9" xr3:uid="{C7FE10BE-56E4-43FA-8D9D-98BAA74BF9EF}" uniqueName="9" name="Tenure" queryTableFieldId="9" dataDxfId="209">
      <calculatedColumnFormula>(TODAY()-staff[[#This Row],[Date Joined]])/365</calculatedColumnFormula>
    </tableColumn>
    <tableColumn id="10" xr3:uid="{BC94522F-AEE3-4BE1-847E-5FEFD9B519C9}" uniqueName="10" name="bonus" queryTableFieldId="10" dataDxfId="208">
      <calculatedColumnFormula>IF(staff[[#This Row],[Tenure]]&gt;2,0.03,0.02)*staff[[#This Row],[Salary]]</calculatedColumnFormula>
    </tableColumn>
    <tableColumn id="11" xr3:uid="{118ECBA7-3848-4FE1-B627-99E1D5C6465B}" uniqueName="11" name="rating of number" queryTableFieldId="11" dataDxfId="207">
      <calculatedColumnFormula>_xlfn.XLOOKUP(staff[[#This Row],[Rating]],$N$30:$N$34,$O$30:$O$34)</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C03087-3EA3-463F-8B37-C36DD6372675}" name="Table4" displayName="Table4" ref="N2:P8" totalsRowShown="0">
  <autoFilter ref="N2:P8" xr:uid="{9FC03087-3EA3-463F-8B37-C36DD6372675}"/>
  <tableColumns count="3">
    <tableColumn id="1" xr3:uid="{F781C1DB-BE39-4725-9D4C-A6BE8D7A3FD0}" name="Name of data"/>
    <tableColumn id="2" xr3:uid="{14ABD2D4-897C-4B1C-A115-34C2EEB3A9AF}" name="Average"/>
    <tableColumn id="3" xr3:uid="{4AC14052-E909-492D-99DE-FFC933126CA1}" name="Median"/>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workbookViewId="0">
      <selection activeCell="D7" sqref="D7"/>
    </sheetView>
  </sheetViews>
  <sheetFormatPr defaultRowHeight="15" x14ac:dyDescent="0.25"/>
  <cols>
    <col min="1" max="1" width="1.7109375" customWidth="1"/>
    <col min="2" max="2" width="3.7109375" customWidth="1"/>
    <col min="3" max="3" width="19.5703125" customWidth="1"/>
    <col min="4" max="4" width="10" bestFit="1" customWidth="1"/>
    <col min="5" max="5" width="14" bestFit="1" customWidth="1"/>
    <col min="6" max="6" width="6.7109375" bestFit="1" customWidth="1"/>
    <col min="7" max="7" width="13.7109375" style="4" bestFit="1" customWidth="1"/>
    <col min="8" max="8" width="12.5703125" style="8" bestFit="1" customWidth="1"/>
    <col min="9" max="9" width="14.28515625" bestFit="1" customWidth="1"/>
  </cols>
  <sheetData>
    <row r="1" spans="1:9" s="2" customFormat="1" ht="52.5" customHeight="1" x14ac:dyDescent="0.25">
      <c r="A1" s="1"/>
      <c r="C1" s="3" t="s">
        <v>110</v>
      </c>
      <c r="G1" s="9"/>
      <c r="H1" s="6"/>
    </row>
    <row r="5" spans="1:9" x14ac:dyDescent="0.25">
      <c r="C5" t="s">
        <v>203</v>
      </c>
      <c r="D5" t="s">
        <v>1</v>
      </c>
      <c r="E5" t="s">
        <v>2</v>
      </c>
      <c r="F5" t="s">
        <v>3</v>
      </c>
      <c r="G5" s="4" t="s">
        <v>4</v>
      </c>
      <c r="H5" s="7" t="s">
        <v>5</v>
      </c>
      <c r="I5" t="s">
        <v>6</v>
      </c>
    </row>
    <row r="6" spans="1:9" x14ac:dyDescent="0.25">
      <c r="C6" t="s">
        <v>58</v>
      </c>
      <c r="D6" t="s">
        <v>15</v>
      </c>
      <c r="E6" t="s">
        <v>19</v>
      </c>
      <c r="F6">
        <v>22</v>
      </c>
      <c r="G6" s="4">
        <v>44446</v>
      </c>
      <c r="H6" s="8">
        <v>112780</v>
      </c>
      <c r="I6" t="s">
        <v>13</v>
      </c>
    </row>
    <row r="7" spans="1:9" x14ac:dyDescent="0.25">
      <c r="C7" t="s">
        <v>70</v>
      </c>
      <c r="D7" t="s">
        <v>15</v>
      </c>
      <c r="E7" t="s">
        <v>9</v>
      </c>
      <c r="F7">
        <v>46</v>
      </c>
      <c r="G7" s="4">
        <v>44758</v>
      </c>
      <c r="H7" s="8">
        <v>70610</v>
      </c>
      <c r="I7" t="s">
        <v>16</v>
      </c>
    </row>
    <row r="8" spans="1:9" x14ac:dyDescent="0.25">
      <c r="C8" t="s">
        <v>75</v>
      </c>
      <c r="D8" t="s">
        <v>8</v>
      </c>
      <c r="E8" t="s">
        <v>19</v>
      </c>
      <c r="F8">
        <v>28</v>
      </c>
      <c r="G8" s="4">
        <v>44357</v>
      </c>
      <c r="H8" s="8">
        <v>53240</v>
      </c>
      <c r="I8" t="s">
        <v>16</v>
      </c>
    </row>
    <row r="9" spans="1:9" x14ac:dyDescent="0.25">
      <c r="C9" t="s">
        <v>49</v>
      </c>
      <c r="E9" t="s">
        <v>21</v>
      </c>
      <c r="F9">
        <v>37</v>
      </c>
      <c r="G9" s="4">
        <v>44146</v>
      </c>
      <c r="H9" s="8">
        <v>115440</v>
      </c>
      <c r="I9" t="s">
        <v>24</v>
      </c>
    </row>
    <row r="10" spans="1:9" x14ac:dyDescent="0.25">
      <c r="C10" t="s">
        <v>65</v>
      </c>
      <c r="D10" t="s">
        <v>15</v>
      </c>
      <c r="E10" t="s">
        <v>19</v>
      </c>
      <c r="F10">
        <v>32</v>
      </c>
      <c r="G10" s="4">
        <v>44465</v>
      </c>
      <c r="H10" s="8">
        <v>53540</v>
      </c>
      <c r="I10" t="s">
        <v>16</v>
      </c>
    </row>
    <row r="11" spans="1:9" x14ac:dyDescent="0.25">
      <c r="C11" t="s">
        <v>81</v>
      </c>
      <c r="D11" t="s">
        <v>8</v>
      </c>
      <c r="E11" t="s">
        <v>9</v>
      </c>
      <c r="F11">
        <v>30</v>
      </c>
      <c r="G11" s="4">
        <v>44861</v>
      </c>
      <c r="H11" s="8">
        <v>112570</v>
      </c>
      <c r="I11" t="s">
        <v>16</v>
      </c>
    </row>
    <row r="12" spans="1:9" x14ac:dyDescent="0.25">
      <c r="C12" t="s">
        <v>51</v>
      </c>
      <c r="D12" t="s">
        <v>15</v>
      </c>
      <c r="E12" t="s">
        <v>9</v>
      </c>
      <c r="F12">
        <v>33</v>
      </c>
      <c r="G12" s="4">
        <v>44701</v>
      </c>
      <c r="H12" s="8">
        <v>48530</v>
      </c>
      <c r="I12" t="s">
        <v>13</v>
      </c>
    </row>
    <row r="13" spans="1:9" x14ac:dyDescent="0.25">
      <c r="C13" t="s">
        <v>61</v>
      </c>
      <c r="D13" t="s">
        <v>8</v>
      </c>
      <c r="E13" t="s">
        <v>12</v>
      </c>
      <c r="F13">
        <v>24</v>
      </c>
      <c r="G13" s="4">
        <v>44148</v>
      </c>
      <c r="H13" s="8">
        <v>62780</v>
      </c>
      <c r="I13" t="s">
        <v>16</v>
      </c>
    </row>
    <row r="14" spans="1:9" x14ac:dyDescent="0.25">
      <c r="C14" t="s">
        <v>82</v>
      </c>
      <c r="D14" t="s">
        <v>15</v>
      </c>
      <c r="E14" t="s">
        <v>12</v>
      </c>
      <c r="F14">
        <v>33</v>
      </c>
      <c r="G14" s="4">
        <v>44509</v>
      </c>
      <c r="H14" s="8">
        <v>53870</v>
      </c>
      <c r="I14" t="s">
        <v>16</v>
      </c>
    </row>
    <row r="15" spans="1:9" x14ac:dyDescent="0.25">
      <c r="C15" t="s">
        <v>60</v>
      </c>
      <c r="D15" t="s">
        <v>8</v>
      </c>
      <c r="E15" t="s">
        <v>56</v>
      </c>
      <c r="F15">
        <v>27</v>
      </c>
      <c r="G15" s="4">
        <v>44122</v>
      </c>
      <c r="H15" s="8">
        <v>119110</v>
      </c>
      <c r="I15" t="s">
        <v>16</v>
      </c>
    </row>
    <row r="16" spans="1:9" x14ac:dyDescent="0.25">
      <c r="C16" t="s">
        <v>87</v>
      </c>
      <c r="D16" t="s">
        <v>15</v>
      </c>
      <c r="E16" t="s">
        <v>12</v>
      </c>
      <c r="F16">
        <v>29</v>
      </c>
      <c r="G16" s="4">
        <v>44180</v>
      </c>
      <c r="H16" s="8">
        <v>112110</v>
      </c>
      <c r="I16" t="s">
        <v>24</v>
      </c>
    </row>
    <row r="17" spans="3:9" x14ac:dyDescent="0.25">
      <c r="C17" t="s">
        <v>76</v>
      </c>
      <c r="D17" t="s">
        <v>15</v>
      </c>
      <c r="E17" t="s">
        <v>19</v>
      </c>
      <c r="F17">
        <v>25</v>
      </c>
      <c r="G17" s="4">
        <v>44383</v>
      </c>
      <c r="H17" s="8">
        <v>65700</v>
      </c>
      <c r="I17" t="s">
        <v>16</v>
      </c>
    </row>
    <row r="18" spans="3:9" x14ac:dyDescent="0.25">
      <c r="C18" t="s">
        <v>97</v>
      </c>
      <c r="D18" t="s">
        <v>15</v>
      </c>
      <c r="E18" t="s">
        <v>12</v>
      </c>
      <c r="F18">
        <v>37</v>
      </c>
      <c r="G18" s="4">
        <v>44701</v>
      </c>
      <c r="H18" s="8">
        <v>69070</v>
      </c>
      <c r="I18" t="s">
        <v>16</v>
      </c>
    </row>
    <row r="19" spans="3:9" x14ac:dyDescent="0.25">
      <c r="C19" t="s">
        <v>22</v>
      </c>
      <c r="D19" t="s">
        <v>15</v>
      </c>
      <c r="E19" t="s">
        <v>12</v>
      </c>
      <c r="F19">
        <v>20</v>
      </c>
      <c r="G19" s="4">
        <v>44459</v>
      </c>
      <c r="H19" s="8">
        <v>107700</v>
      </c>
      <c r="I19" t="s">
        <v>16</v>
      </c>
    </row>
    <row r="20" spans="3:9" x14ac:dyDescent="0.25">
      <c r="C20" t="s">
        <v>84</v>
      </c>
      <c r="D20" t="s">
        <v>8</v>
      </c>
      <c r="E20" t="s">
        <v>12</v>
      </c>
      <c r="F20">
        <v>32</v>
      </c>
      <c r="G20" s="4">
        <v>44354</v>
      </c>
      <c r="H20" s="8">
        <v>43840</v>
      </c>
      <c r="I20" t="s">
        <v>13</v>
      </c>
    </row>
    <row r="21" spans="3:9" x14ac:dyDescent="0.25">
      <c r="C21" t="s">
        <v>105</v>
      </c>
      <c r="D21" t="s">
        <v>15</v>
      </c>
      <c r="E21" t="s">
        <v>9</v>
      </c>
      <c r="F21">
        <v>40</v>
      </c>
      <c r="G21" s="4">
        <v>44263</v>
      </c>
      <c r="H21" s="8">
        <v>99750</v>
      </c>
      <c r="I21" t="s">
        <v>16</v>
      </c>
    </row>
    <row r="22" spans="3:9" x14ac:dyDescent="0.25">
      <c r="C22" t="s">
        <v>47</v>
      </c>
      <c r="D22" t="s">
        <v>15</v>
      </c>
      <c r="E22" t="s">
        <v>9</v>
      </c>
      <c r="F22">
        <v>21</v>
      </c>
      <c r="G22" s="4">
        <v>44104</v>
      </c>
      <c r="H22" s="8">
        <v>37920</v>
      </c>
      <c r="I22" t="s">
        <v>16</v>
      </c>
    </row>
    <row r="23" spans="3:9" x14ac:dyDescent="0.25">
      <c r="C23" t="s">
        <v>31</v>
      </c>
      <c r="D23" t="s">
        <v>15</v>
      </c>
      <c r="E23" t="s">
        <v>9</v>
      </c>
      <c r="F23">
        <v>21</v>
      </c>
      <c r="G23" s="4">
        <v>44762</v>
      </c>
      <c r="H23" s="8">
        <v>57090</v>
      </c>
      <c r="I23" t="s">
        <v>16</v>
      </c>
    </row>
    <row r="24" spans="3:9" x14ac:dyDescent="0.25">
      <c r="C24" t="s">
        <v>30</v>
      </c>
      <c r="D24" t="s">
        <v>8</v>
      </c>
      <c r="E24" t="s">
        <v>12</v>
      </c>
      <c r="F24">
        <v>31</v>
      </c>
      <c r="G24" s="4">
        <v>44145</v>
      </c>
      <c r="H24" s="8">
        <v>41980</v>
      </c>
      <c r="I24" t="s">
        <v>16</v>
      </c>
    </row>
    <row r="25" spans="3:9" x14ac:dyDescent="0.25">
      <c r="C25" t="s">
        <v>78</v>
      </c>
      <c r="D25" t="s">
        <v>15</v>
      </c>
      <c r="E25" t="s">
        <v>56</v>
      </c>
      <c r="F25">
        <v>21</v>
      </c>
      <c r="G25" s="4">
        <v>44242</v>
      </c>
      <c r="H25" s="8">
        <v>75880</v>
      </c>
      <c r="I25" t="s">
        <v>16</v>
      </c>
    </row>
    <row r="26" spans="3:9" x14ac:dyDescent="0.25">
      <c r="C26" t="s">
        <v>36</v>
      </c>
      <c r="D26" t="s">
        <v>8</v>
      </c>
      <c r="E26" t="s">
        <v>21</v>
      </c>
      <c r="F26">
        <v>34</v>
      </c>
      <c r="G26" s="4">
        <v>44653</v>
      </c>
      <c r="H26" s="8">
        <v>58940</v>
      </c>
      <c r="I26" t="s">
        <v>16</v>
      </c>
    </row>
    <row r="27" spans="3:9" x14ac:dyDescent="0.25">
      <c r="C27" t="s">
        <v>27</v>
      </c>
      <c r="D27" t="s">
        <v>8</v>
      </c>
      <c r="E27" t="s">
        <v>21</v>
      </c>
      <c r="F27">
        <v>30</v>
      </c>
      <c r="G27" s="4">
        <v>44389</v>
      </c>
      <c r="H27" s="8">
        <v>67910</v>
      </c>
      <c r="I27" t="s">
        <v>24</v>
      </c>
    </row>
    <row r="28" spans="3:9" x14ac:dyDescent="0.25">
      <c r="C28" t="s">
        <v>26</v>
      </c>
      <c r="D28" t="s">
        <v>8</v>
      </c>
      <c r="E28" t="s">
        <v>12</v>
      </c>
      <c r="F28">
        <v>31</v>
      </c>
      <c r="G28" s="4">
        <v>44663</v>
      </c>
      <c r="H28" s="8">
        <v>58100</v>
      </c>
      <c r="I28" t="s">
        <v>16</v>
      </c>
    </row>
    <row r="29" spans="3:9" x14ac:dyDescent="0.25">
      <c r="C29" t="s">
        <v>53</v>
      </c>
      <c r="D29" t="s">
        <v>15</v>
      </c>
      <c r="E29" t="s">
        <v>21</v>
      </c>
      <c r="F29">
        <v>27</v>
      </c>
      <c r="G29" s="4">
        <v>44567</v>
      </c>
      <c r="H29" s="8">
        <v>48980</v>
      </c>
      <c r="I29" t="s">
        <v>16</v>
      </c>
    </row>
    <row r="30" spans="3:9" x14ac:dyDescent="0.25">
      <c r="C30" t="s">
        <v>20</v>
      </c>
      <c r="E30" t="s">
        <v>21</v>
      </c>
      <c r="F30">
        <v>30</v>
      </c>
      <c r="G30" s="4">
        <v>44597</v>
      </c>
      <c r="H30" s="8">
        <v>64000</v>
      </c>
      <c r="I30" t="s">
        <v>16</v>
      </c>
    </row>
    <row r="31" spans="3:9" x14ac:dyDescent="0.25">
      <c r="C31" t="s">
        <v>7</v>
      </c>
      <c r="D31" t="s">
        <v>8</v>
      </c>
      <c r="E31" t="s">
        <v>9</v>
      </c>
      <c r="F31">
        <v>42</v>
      </c>
      <c r="G31" s="4">
        <v>44779</v>
      </c>
      <c r="H31" s="8">
        <v>75000</v>
      </c>
      <c r="I31" t="s">
        <v>10</v>
      </c>
    </row>
    <row r="32" spans="3:9" x14ac:dyDescent="0.25">
      <c r="C32" t="s">
        <v>74</v>
      </c>
      <c r="D32" t="s">
        <v>8</v>
      </c>
      <c r="E32" t="s">
        <v>12</v>
      </c>
      <c r="F32">
        <v>40</v>
      </c>
      <c r="G32" s="4">
        <v>44337</v>
      </c>
      <c r="H32" s="8">
        <v>87620</v>
      </c>
      <c r="I32" t="s">
        <v>16</v>
      </c>
    </row>
    <row r="33" spans="3:9" x14ac:dyDescent="0.25">
      <c r="C33" t="s">
        <v>44</v>
      </c>
      <c r="D33" t="s">
        <v>8</v>
      </c>
      <c r="E33" t="s">
        <v>12</v>
      </c>
      <c r="F33">
        <v>29</v>
      </c>
      <c r="G33" s="4">
        <v>44023</v>
      </c>
      <c r="H33" s="8">
        <v>34980</v>
      </c>
      <c r="I33" t="s">
        <v>16</v>
      </c>
    </row>
    <row r="34" spans="3:9" x14ac:dyDescent="0.25">
      <c r="C34" t="s">
        <v>35</v>
      </c>
      <c r="D34" t="s">
        <v>8</v>
      </c>
      <c r="E34" t="s">
        <v>21</v>
      </c>
      <c r="F34">
        <v>28</v>
      </c>
      <c r="G34" s="4">
        <v>44185</v>
      </c>
      <c r="H34" s="8">
        <v>75970</v>
      </c>
      <c r="I34" t="s">
        <v>16</v>
      </c>
    </row>
    <row r="35" spans="3:9" x14ac:dyDescent="0.25">
      <c r="C35" t="s">
        <v>38</v>
      </c>
      <c r="D35" t="s">
        <v>8</v>
      </c>
      <c r="E35" t="s">
        <v>21</v>
      </c>
      <c r="F35">
        <v>34</v>
      </c>
      <c r="G35" s="4">
        <v>44612</v>
      </c>
      <c r="H35" s="8">
        <v>60130</v>
      </c>
      <c r="I35" t="s">
        <v>16</v>
      </c>
    </row>
    <row r="36" spans="3:9" x14ac:dyDescent="0.25">
      <c r="C36" t="s">
        <v>41</v>
      </c>
      <c r="D36" t="s">
        <v>8</v>
      </c>
      <c r="E36" t="s">
        <v>12</v>
      </c>
      <c r="F36">
        <v>33</v>
      </c>
      <c r="G36" s="4">
        <v>44374</v>
      </c>
      <c r="H36" s="8">
        <v>75480</v>
      </c>
      <c r="I36" t="s">
        <v>42</v>
      </c>
    </row>
    <row r="37" spans="3:9" x14ac:dyDescent="0.25">
      <c r="C37" t="s">
        <v>40</v>
      </c>
      <c r="D37" t="s">
        <v>15</v>
      </c>
      <c r="E37" t="s">
        <v>9</v>
      </c>
      <c r="F37">
        <v>33</v>
      </c>
      <c r="G37" s="4">
        <v>44164</v>
      </c>
      <c r="H37" s="8">
        <v>115920</v>
      </c>
      <c r="I37" t="s">
        <v>16</v>
      </c>
    </row>
    <row r="38" spans="3:9" x14ac:dyDescent="0.25">
      <c r="C38" t="s">
        <v>48</v>
      </c>
      <c r="D38" t="s">
        <v>8</v>
      </c>
      <c r="E38" t="s">
        <v>19</v>
      </c>
      <c r="F38">
        <v>36</v>
      </c>
      <c r="G38" s="4">
        <v>44494</v>
      </c>
      <c r="H38" s="8">
        <v>78540</v>
      </c>
      <c r="I38" t="s">
        <v>16</v>
      </c>
    </row>
    <row r="39" spans="3:9" x14ac:dyDescent="0.25">
      <c r="C39" t="s">
        <v>34</v>
      </c>
      <c r="D39" t="s">
        <v>15</v>
      </c>
      <c r="E39" t="s">
        <v>9</v>
      </c>
      <c r="F39">
        <v>25</v>
      </c>
      <c r="G39" s="4">
        <v>44726</v>
      </c>
      <c r="H39" s="8">
        <v>109190</v>
      </c>
      <c r="I39" t="s">
        <v>13</v>
      </c>
    </row>
    <row r="40" spans="3:9" x14ac:dyDescent="0.25">
      <c r="C40" t="s">
        <v>73</v>
      </c>
      <c r="D40" t="s">
        <v>8</v>
      </c>
      <c r="E40" t="s">
        <v>19</v>
      </c>
      <c r="F40">
        <v>34</v>
      </c>
      <c r="G40" s="4">
        <v>44721</v>
      </c>
      <c r="H40" s="8">
        <v>49630</v>
      </c>
      <c r="I40" t="s">
        <v>24</v>
      </c>
    </row>
    <row r="41" spans="3:9" x14ac:dyDescent="0.25">
      <c r="C41" t="s">
        <v>107</v>
      </c>
      <c r="D41" t="s">
        <v>8</v>
      </c>
      <c r="E41" t="s">
        <v>9</v>
      </c>
      <c r="F41">
        <v>28</v>
      </c>
      <c r="G41" s="4">
        <v>44630</v>
      </c>
      <c r="H41" s="8">
        <v>99970</v>
      </c>
      <c r="I41" t="s">
        <v>16</v>
      </c>
    </row>
    <row r="42" spans="3:9" x14ac:dyDescent="0.25">
      <c r="C42" t="s">
        <v>71</v>
      </c>
      <c r="D42" t="s">
        <v>8</v>
      </c>
      <c r="E42" t="s">
        <v>12</v>
      </c>
      <c r="F42">
        <v>33</v>
      </c>
      <c r="G42" s="4">
        <v>44190</v>
      </c>
      <c r="H42" s="8">
        <v>96140</v>
      </c>
      <c r="I42" t="s">
        <v>16</v>
      </c>
    </row>
    <row r="43" spans="3:9" x14ac:dyDescent="0.25">
      <c r="C43" t="s">
        <v>50</v>
      </c>
      <c r="D43" t="s">
        <v>15</v>
      </c>
      <c r="E43" t="s">
        <v>9</v>
      </c>
      <c r="F43">
        <v>31</v>
      </c>
      <c r="G43" s="4">
        <v>44724</v>
      </c>
      <c r="H43" s="8">
        <v>103550</v>
      </c>
      <c r="I43" t="s">
        <v>16</v>
      </c>
    </row>
    <row r="44" spans="3:9" x14ac:dyDescent="0.25">
      <c r="C44" t="s">
        <v>14</v>
      </c>
      <c r="D44" t="s">
        <v>15</v>
      </c>
      <c r="E44" t="s">
        <v>12</v>
      </c>
      <c r="F44">
        <v>31</v>
      </c>
      <c r="G44" s="4">
        <v>44511</v>
      </c>
      <c r="H44" s="8">
        <v>48950</v>
      </c>
      <c r="I44" t="s">
        <v>16</v>
      </c>
    </row>
    <row r="45" spans="3:9" x14ac:dyDescent="0.25">
      <c r="C45" t="s">
        <v>63</v>
      </c>
      <c r="D45" t="s">
        <v>15</v>
      </c>
      <c r="E45" t="s">
        <v>21</v>
      </c>
      <c r="F45">
        <v>24</v>
      </c>
      <c r="G45" s="4">
        <v>44436</v>
      </c>
      <c r="H45" s="8">
        <v>52610</v>
      </c>
      <c r="I45" t="s">
        <v>24</v>
      </c>
    </row>
    <row r="46" spans="3:9" x14ac:dyDescent="0.25">
      <c r="C46" t="s">
        <v>72</v>
      </c>
      <c r="D46" t="s">
        <v>8</v>
      </c>
      <c r="E46" t="s">
        <v>9</v>
      </c>
      <c r="F46">
        <v>36</v>
      </c>
      <c r="G46" s="4">
        <v>44529</v>
      </c>
      <c r="H46" s="8">
        <v>78390</v>
      </c>
      <c r="I46" t="s">
        <v>16</v>
      </c>
    </row>
    <row r="47" spans="3:9" x14ac:dyDescent="0.25">
      <c r="C47" t="s">
        <v>88</v>
      </c>
      <c r="D47" t="s">
        <v>8</v>
      </c>
      <c r="E47" t="s">
        <v>21</v>
      </c>
      <c r="F47">
        <v>33</v>
      </c>
      <c r="G47" s="4">
        <v>44809</v>
      </c>
      <c r="H47" s="8">
        <v>86570</v>
      </c>
      <c r="I47" t="s">
        <v>16</v>
      </c>
    </row>
    <row r="48" spans="3:9" x14ac:dyDescent="0.25">
      <c r="C48" t="s">
        <v>92</v>
      </c>
      <c r="D48" t="s">
        <v>8</v>
      </c>
      <c r="E48" t="s">
        <v>12</v>
      </c>
      <c r="F48">
        <v>27</v>
      </c>
      <c r="G48" s="4">
        <v>44686</v>
      </c>
      <c r="H48" s="8">
        <v>83750</v>
      </c>
      <c r="I48" t="s">
        <v>16</v>
      </c>
    </row>
    <row r="49" spans="3:9" x14ac:dyDescent="0.25">
      <c r="C49" t="s">
        <v>102</v>
      </c>
      <c r="D49" t="s">
        <v>8</v>
      </c>
      <c r="E49" t="s">
        <v>21</v>
      </c>
      <c r="F49">
        <v>34</v>
      </c>
      <c r="G49" s="4">
        <v>44445</v>
      </c>
      <c r="H49" s="8">
        <v>92450</v>
      </c>
      <c r="I49" t="s">
        <v>16</v>
      </c>
    </row>
    <row r="50" spans="3:9" x14ac:dyDescent="0.25">
      <c r="C50" t="s">
        <v>64</v>
      </c>
      <c r="D50" t="s">
        <v>15</v>
      </c>
      <c r="E50" t="s">
        <v>12</v>
      </c>
      <c r="F50">
        <v>20</v>
      </c>
      <c r="G50" s="4">
        <v>44183</v>
      </c>
      <c r="H50" s="8">
        <v>112650</v>
      </c>
      <c r="I50" t="s">
        <v>16</v>
      </c>
    </row>
    <row r="51" spans="3:9" x14ac:dyDescent="0.25">
      <c r="C51" t="s">
        <v>104</v>
      </c>
      <c r="D51" t="s">
        <v>15</v>
      </c>
      <c r="E51" t="s">
        <v>9</v>
      </c>
      <c r="F51">
        <v>20</v>
      </c>
      <c r="G51" s="4">
        <v>44744</v>
      </c>
      <c r="H51" s="8">
        <v>79570</v>
      </c>
      <c r="I51" t="s">
        <v>16</v>
      </c>
    </row>
    <row r="52" spans="3:9" x14ac:dyDescent="0.25">
      <c r="C52" t="s">
        <v>91</v>
      </c>
      <c r="D52" t="s">
        <v>8</v>
      </c>
      <c r="E52" t="s">
        <v>19</v>
      </c>
      <c r="F52">
        <v>20</v>
      </c>
      <c r="G52" s="4">
        <v>44537</v>
      </c>
      <c r="H52" s="8">
        <v>68900</v>
      </c>
      <c r="I52" t="s">
        <v>24</v>
      </c>
    </row>
    <row r="53" spans="3:9" x14ac:dyDescent="0.25">
      <c r="C53" t="s">
        <v>39</v>
      </c>
      <c r="D53" t="s">
        <v>8</v>
      </c>
      <c r="E53" t="s">
        <v>12</v>
      </c>
      <c r="F53">
        <v>25</v>
      </c>
      <c r="G53" s="4">
        <v>44694</v>
      </c>
      <c r="H53" s="8">
        <v>80700</v>
      </c>
      <c r="I53" t="s">
        <v>13</v>
      </c>
    </row>
    <row r="54" spans="3:9" x14ac:dyDescent="0.25">
      <c r="C54" t="s">
        <v>100</v>
      </c>
      <c r="D54" t="s">
        <v>15</v>
      </c>
      <c r="E54" t="s">
        <v>9</v>
      </c>
      <c r="F54">
        <v>19</v>
      </c>
      <c r="G54" s="4">
        <v>44277</v>
      </c>
      <c r="H54" s="8">
        <v>58960</v>
      </c>
      <c r="I54" t="s">
        <v>16</v>
      </c>
    </row>
    <row r="55" spans="3:9" x14ac:dyDescent="0.25">
      <c r="C55" t="s">
        <v>106</v>
      </c>
      <c r="D55" t="s">
        <v>15</v>
      </c>
      <c r="E55" t="s">
        <v>12</v>
      </c>
      <c r="F55">
        <v>36</v>
      </c>
      <c r="G55" s="4">
        <v>44019</v>
      </c>
      <c r="H55" s="8">
        <v>118840</v>
      </c>
      <c r="I55" t="s">
        <v>16</v>
      </c>
    </row>
    <row r="56" spans="3:9" x14ac:dyDescent="0.25">
      <c r="C56" t="s">
        <v>29</v>
      </c>
      <c r="D56" t="s">
        <v>15</v>
      </c>
      <c r="E56" t="s">
        <v>21</v>
      </c>
      <c r="F56">
        <v>28</v>
      </c>
      <c r="G56" s="4">
        <v>44041</v>
      </c>
      <c r="H56" s="8">
        <v>48170</v>
      </c>
      <c r="I56" t="s">
        <v>13</v>
      </c>
    </row>
    <row r="57" spans="3:9" x14ac:dyDescent="0.25">
      <c r="C57" t="s">
        <v>108</v>
      </c>
      <c r="D57" t="s">
        <v>8</v>
      </c>
      <c r="E57" t="s">
        <v>56</v>
      </c>
      <c r="F57">
        <v>32</v>
      </c>
      <c r="G57" s="4">
        <v>44400</v>
      </c>
      <c r="H57" s="8">
        <v>45510</v>
      </c>
      <c r="I57" t="s">
        <v>16</v>
      </c>
    </row>
    <row r="58" spans="3:9" x14ac:dyDescent="0.25">
      <c r="C58" t="s">
        <v>64</v>
      </c>
      <c r="D58" t="s">
        <v>15</v>
      </c>
      <c r="E58" t="s">
        <v>9</v>
      </c>
      <c r="F58">
        <v>34</v>
      </c>
      <c r="G58" s="4">
        <v>44703</v>
      </c>
      <c r="H58" s="8">
        <v>112650</v>
      </c>
      <c r="I58" t="s">
        <v>16</v>
      </c>
    </row>
    <row r="59" spans="3:9" x14ac:dyDescent="0.25">
      <c r="C59" t="s">
        <v>83</v>
      </c>
      <c r="D59" t="s">
        <v>8</v>
      </c>
      <c r="E59" t="s">
        <v>9</v>
      </c>
      <c r="F59">
        <v>36</v>
      </c>
      <c r="G59" s="4">
        <v>44085</v>
      </c>
      <c r="H59" s="8">
        <v>114890</v>
      </c>
      <c r="I59" t="s">
        <v>16</v>
      </c>
    </row>
    <row r="60" spans="3:9" x14ac:dyDescent="0.25">
      <c r="C60" t="s">
        <v>67</v>
      </c>
      <c r="D60" t="s">
        <v>15</v>
      </c>
      <c r="E60" t="s">
        <v>12</v>
      </c>
      <c r="F60">
        <v>30</v>
      </c>
      <c r="G60" s="4">
        <v>44850</v>
      </c>
      <c r="H60" s="8">
        <v>69710</v>
      </c>
      <c r="I60" t="s">
        <v>16</v>
      </c>
    </row>
    <row r="61" spans="3:9" x14ac:dyDescent="0.25">
      <c r="C61" t="s">
        <v>94</v>
      </c>
      <c r="D61" t="s">
        <v>15</v>
      </c>
      <c r="E61" t="s">
        <v>21</v>
      </c>
      <c r="F61">
        <v>36</v>
      </c>
      <c r="G61" s="4">
        <v>44333</v>
      </c>
      <c r="H61" s="8">
        <v>71380</v>
      </c>
      <c r="I61" t="s">
        <v>16</v>
      </c>
    </row>
    <row r="62" spans="3:9" x14ac:dyDescent="0.25">
      <c r="C62" t="s">
        <v>33</v>
      </c>
      <c r="D62" t="s">
        <v>8</v>
      </c>
      <c r="E62" t="s">
        <v>19</v>
      </c>
      <c r="F62">
        <v>38</v>
      </c>
      <c r="G62" s="4">
        <v>44377</v>
      </c>
      <c r="H62" s="8">
        <v>109160</v>
      </c>
      <c r="I62" t="s">
        <v>10</v>
      </c>
    </row>
    <row r="63" spans="3:9" x14ac:dyDescent="0.25">
      <c r="C63" t="s">
        <v>98</v>
      </c>
      <c r="D63" t="s">
        <v>15</v>
      </c>
      <c r="E63" t="s">
        <v>9</v>
      </c>
      <c r="F63">
        <v>27</v>
      </c>
      <c r="G63" s="4">
        <v>44609</v>
      </c>
      <c r="H63" s="8">
        <v>113280</v>
      </c>
      <c r="I63" t="s">
        <v>42</v>
      </c>
    </row>
    <row r="64" spans="3:9" x14ac:dyDescent="0.25">
      <c r="C64" t="s">
        <v>25</v>
      </c>
      <c r="D64" t="s">
        <v>15</v>
      </c>
      <c r="E64" t="s">
        <v>12</v>
      </c>
      <c r="F64">
        <v>30</v>
      </c>
      <c r="G64" s="4">
        <v>44273</v>
      </c>
      <c r="H64" s="8">
        <v>69120</v>
      </c>
      <c r="I64" t="s">
        <v>16</v>
      </c>
    </row>
    <row r="65" spans="3:9" x14ac:dyDescent="0.25">
      <c r="C65" t="s">
        <v>55</v>
      </c>
      <c r="D65" t="s">
        <v>8</v>
      </c>
      <c r="E65" t="s">
        <v>56</v>
      </c>
      <c r="F65">
        <v>37</v>
      </c>
      <c r="G65" s="4">
        <v>44451</v>
      </c>
      <c r="H65" s="8">
        <v>118100</v>
      </c>
      <c r="I65" t="s">
        <v>16</v>
      </c>
    </row>
    <row r="66" spans="3:9" x14ac:dyDescent="0.25">
      <c r="C66" t="s">
        <v>62</v>
      </c>
      <c r="D66" t="s">
        <v>8</v>
      </c>
      <c r="E66" t="s">
        <v>9</v>
      </c>
      <c r="F66">
        <v>22</v>
      </c>
      <c r="G66" s="4">
        <v>44450</v>
      </c>
      <c r="H66" s="8">
        <v>76900</v>
      </c>
      <c r="I66" t="s">
        <v>13</v>
      </c>
    </row>
    <row r="67" spans="3:9" x14ac:dyDescent="0.25">
      <c r="C67" t="s">
        <v>17</v>
      </c>
      <c r="D67" t="s">
        <v>8</v>
      </c>
      <c r="E67" t="s">
        <v>12</v>
      </c>
      <c r="F67">
        <v>43</v>
      </c>
      <c r="G67" s="4">
        <v>45045</v>
      </c>
      <c r="H67" s="8">
        <v>114870</v>
      </c>
      <c r="I67" t="s">
        <v>16</v>
      </c>
    </row>
    <row r="68" spans="3:9" x14ac:dyDescent="0.25">
      <c r="C68" t="s">
        <v>52</v>
      </c>
      <c r="E68" t="s">
        <v>12</v>
      </c>
      <c r="F68">
        <v>32</v>
      </c>
      <c r="G68" s="4">
        <v>44774</v>
      </c>
      <c r="H68" s="8">
        <v>91310</v>
      </c>
      <c r="I68" t="s">
        <v>16</v>
      </c>
    </row>
    <row r="69" spans="3:9" x14ac:dyDescent="0.25">
      <c r="C69" t="s">
        <v>43</v>
      </c>
      <c r="D69" t="s">
        <v>8</v>
      </c>
      <c r="E69" t="s">
        <v>9</v>
      </c>
      <c r="F69">
        <v>28</v>
      </c>
      <c r="G69" s="4">
        <v>44486</v>
      </c>
      <c r="H69" s="8">
        <v>104770</v>
      </c>
      <c r="I69" t="s">
        <v>16</v>
      </c>
    </row>
    <row r="70" spans="3:9" x14ac:dyDescent="0.25">
      <c r="C70" t="s">
        <v>89</v>
      </c>
      <c r="D70" t="s">
        <v>15</v>
      </c>
      <c r="E70" t="s">
        <v>19</v>
      </c>
      <c r="F70">
        <v>27</v>
      </c>
      <c r="G70" s="4">
        <v>44134</v>
      </c>
      <c r="H70" s="8">
        <v>54970</v>
      </c>
      <c r="I70" t="s">
        <v>16</v>
      </c>
    </row>
    <row r="71" spans="3:9" x14ac:dyDescent="0.25">
      <c r="C71" t="s">
        <v>11</v>
      </c>
      <c r="E71" t="s">
        <v>12</v>
      </c>
      <c r="F71">
        <v>26</v>
      </c>
      <c r="G71" s="4">
        <v>44271</v>
      </c>
      <c r="H71" s="8">
        <v>90700</v>
      </c>
      <c r="I71" t="s">
        <v>13</v>
      </c>
    </row>
    <row r="72" spans="3:9" x14ac:dyDescent="0.25">
      <c r="C72" t="s">
        <v>109</v>
      </c>
      <c r="D72" t="s">
        <v>8</v>
      </c>
      <c r="E72" t="s">
        <v>19</v>
      </c>
      <c r="F72">
        <v>38</v>
      </c>
      <c r="G72" s="4">
        <v>44329</v>
      </c>
      <c r="H72" s="8">
        <v>56870</v>
      </c>
      <c r="I72" t="s">
        <v>13</v>
      </c>
    </row>
    <row r="73" spans="3:9" x14ac:dyDescent="0.25">
      <c r="C73" t="s">
        <v>77</v>
      </c>
      <c r="D73" t="s">
        <v>8</v>
      </c>
      <c r="E73" t="s">
        <v>19</v>
      </c>
      <c r="F73">
        <v>25</v>
      </c>
      <c r="G73" s="4">
        <v>44205</v>
      </c>
      <c r="H73" s="8">
        <v>92700</v>
      </c>
      <c r="I73" t="s">
        <v>16</v>
      </c>
    </row>
    <row r="74" spans="3:9" x14ac:dyDescent="0.25">
      <c r="C74" t="s">
        <v>32</v>
      </c>
      <c r="D74" t="s">
        <v>8</v>
      </c>
      <c r="E74" t="s">
        <v>21</v>
      </c>
      <c r="F74">
        <v>21</v>
      </c>
      <c r="G74" s="4">
        <v>44317</v>
      </c>
      <c r="H74" s="8">
        <v>65920</v>
      </c>
      <c r="I74" t="s">
        <v>16</v>
      </c>
    </row>
    <row r="75" spans="3:9" x14ac:dyDescent="0.25">
      <c r="C75" t="s">
        <v>59</v>
      </c>
      <c r="D75" t="s">
        <v>15</v>
      </c>
      <c r="E75" t="s">
        <v>9</v>
      </c>
      <c r="F75">
        <v>26</v>
      </c>
      <c r="G75" s="4">
        <v>44225</v>
      </c>
      <c r="H75" s="8">
        <v>47360</v>
      </c>
      <c r="I75" t="s">
        <v>16</v>
      </c>
    </row>
    <row r="76" spans="3:9" x14ac:dyDescent="0.25">
      <c r="C76" t="s">
        <v>37</v>
      </c>
      <c r="D76" t="s">
        <v>15</v>
      </c>
      <c r="E76" t="s">
        <v>9</v>
      </c>
      <c r="F76">
        <v>30</v>
      </c>
      <c r="G76" s="4">
        <v>44666</v>
      </c>
      <c r="H76" s="8">
        <v>60570</v>
      </c>
      <c r="I76" t="s">
        <v>16</v>
      </c>
    </row>
    <row r="77" spans="3:9" x14ac:dyDescent="0.25">
      <c r="C77" t="s">
        <v>96</v>
      </c>
      <c r="D77" t="s">
        <v>8</v>
      </c>
      <c r="E77" t="s">
        <v>9</v>
      </c>
      <c r="F77">
        <v>28</v>
      </c>
      <c r="G77" s="4">
        <v>44649</v>
      </c>
      <c r="H77" s="8">
        <v>104120</v>
      </c>
      <c r="I77" t="s">
        <v>16</v>
      </c>
    </row>
    <row r="78" spans="3:9" x14ac:dyDescent="0.25">
      <c r="C78" t="s">
        <v>23</v>
      </c>
      <c r="D78" t="s">
        <v>15</v>
      </c>
      <c r="E78" t="s">
        <v>12</v>
      </c>
      <c r="F78">
        <v>37</v>
      </c>
      <c r="G78" s="4">
        <v>44338</v>
      </c>
      <c r="H78" s="8">
        <v>88050</v>
      </c>
      <c r="I78" t="s">
        <v>24</v>
      </c>
    </row>
    <row r="79" spans="3:9" x14ac:dyDescent="0.25">
      <c r="C79" t="s">
        <v>103</v>
      </c>
      <c r="D79" t="s">
        <v>15</v>
      </c>
      <c r="E79" t="s">
        <v>12</v>
      </c>
      <c r="F79">
        <v>24</v>
      </c>
      <c r="G79" s="4">
        <v>44686</v>
      </c>
      <c r="H79" s="8">
        <v>100420</v>
      </c>
      <c r="I79" t="s">
        <v>16</v>
      </c>
    </row>
    <row r="80" spans="3:9" x14ac:dyDescent="0.25">
      <c r="C80" t="s">
        <v>54</v>
      </c>
      <c r="D80" t="s">
        <v>8</v>
      </c>
      <c r="E80" t="s">
        <v>9</v>
      </c>
      <c r="F80">
        <v>30</v>
      </c>
      <c r="G80" s="4">
        <v>44850</v>
      </c>
      <c r="H80" s="8">
        <v>114180</v>
      </c>
      <c r="I80" t="s">
        <v>16</v>
      </c>
    </row>
    <row r="81" spans="3:9" x14ac:dyDescent="0.25">
      <c r="C81" t="s">
        <v>86</v>
      </c>
      <c r="D81" t="s">
        <v>8</v>
      </c>
      <c r="E81" t="s">
        <v>12</v>
      </c>
      <c r="F81">
        <v>21</v>
      </c>
      <c r="G81" s="4">
        <v>44678</v>
      </c>
      <c r="H81" s="8">
        <v>33920</v>
      </c>
      <c r="I81" t="s">
        <v>16</v>
      </c>
    </row>
    <row r="82" spans="3:9" x14ac:dyDescent="0.25">
      <c r="C82" t="s">
        <v>69</v>
      </c>
      <c r="D82" t="s">
        <v>15</v>
      </c>
      <c r="E82" t="s">
        <v>9</v>
      </c>
      <c r="F82">
        <v>23</v>
      </c>
      <c r="G82" s="4">
        <v>44440</v>
      </c>
      <c r="H82" s="8">
        <v>106460</v>
      </c>
      <c r="I82" t="s">
        <v>16</v>
      </c>
    </row>
    <row r="83" spans="3:9" x14ac:dyDescent="0.25">
      <c r="C83" t="s">
        <v>57</v>
      </c>
      <c r="D83" t="s">
        <v>15</v>
      </c>
      <c r="E83" t="s">
        <v>9</v>
      </c>
      <c r="F83">
        <v>35</v>
      </c>
      <c r="G83" s="4">
        <v>44727</v>
      </c>
      <c r="H83" s="8">
        <v>40400</v>
      </c>
      <c r="I83" t="s">
        <v>16</v>
      </c>
    </row>
    <row r="84" spans="3:9" x14ac:dyDescent="0.25">
      <c r="C84" t="s">
        <v>68</v>
      </c>
      <c r="D84" t="s">
        <v>15</v>
      </c>
      <c r="E84" t="s">
        <v>21</v>
      </c>
      <c r="F84">
        <v>27</v>
      </c>
      <c r="G84" s="4">
        <v>44236</v>
      </c>
      <c r="H84" s="8">
        <v>91650</v>
      </c>
      <c r="I84" t="s">
        <v>13</v>
      </c>
    </row>
    <row r="85" spans="3:9" x14ac:dyDescent="0.25">
      <c r="C85" t="s">
        <v>99</v>
      </c>
      <c r="D85" t="s">
        <v>15</v>
      </c>
      <c r="E85" t="s">
        <v>19</v>
      </c>
      <c r="F85">
        <v>43</v>
      </c>
      <c r="G85" s="4">
        <v>44620</v>
      </c>
      <c r="H85" s="8">
        <v>36040</v>
      </c>
      <c r="I85" t="s">
        <v>16</v>
      </c>
    </row>
    <row r="86" spans="3:9" x14ac:dyDescent="0.25">
      <c r="C86" t="s">
        <v>101</v>
      </c>
      <c r="D86" t="s">
        <v>8</v>
      </c>
      <c r="E86" t="s">
        <v>12</v>
      </c>
      <c r="F86">
        <v>40</v>
      </c>
      <c r="G86" s="4">
        <v>44381</v>
      </c>
      <c r="H86" s="8">
        <v>104410</v>
      </c>
      <c r="I86" t="s">
        <v>16</v>
      </c>
    </row>
    <row r="87" spans="3:9" x14ac:dyDescent="0.25">
      <c r="C87" t="s">
        <v>85</v>
      </c>
      <c r="D87" t="s">
        <v>15</v>
      </c>
      <c r="E87" t="s">
        <v>21</v>
      </c>
      <c r="F87">
        <v>30</v>
      </c>
      <c r="G87" s="4">
        <v>44606</v>
      </c>
      <c r="H87" s="8">
        <v>96800</v>
      </c>
      <c r="I87" t="s">
        <v>16</v>
      </c>
    </row>
    <row r="88" spans="3:9" x14ac:dyDescent="0.25">
      <c r="C88" t="s">
        <v>28</v>
      </c>
      <c r="D88" t="s">
        <v>8</v>
      </c>
      <c r="E88" t="s">
        <v>21</v>
      </c>
      <c r="F88">
        <v>34</v>
      </c>
      <c r="G88" s="4">
        <v>44459</v>
      </c>
      <c r="H88" s="8">
        <v>85000</v>
      </c>
      <c r="I88" t="s">
        <v>16</v>
      </c>
    </row>
    <row r="89" spans="3:9" x14ac:dyDescent="0.25">
      <c r="C89" t="s">
        <v>80</v>
      </c>
      <c r="D89" t="s">
        <v>15</v>
      </c>
      <c r="E89" t="s">
        <v>19</v>
      </c>
      <c r="F89">
        <v>28</v>
      </c>
      <c r="G89" s="4">
        <v>44820</v>
      </c>
      <c r="H89" s="8">
        <v>43510</v>
      </c>
      <c r="I89" t="s">
        <v>42</v>
      </c>
    </row>
    <row r="90" spans="3:9" x14ac:dyDescent="0.25">
      <c r="C90" t="s">
        <v>79</v>
      </c>
      <c r="D90" t="s">
        <v>15</v>
      </c>
      <c r="E90" t="s">
        <v>21</v>
      </c>
      <c r="F90">
        <v>33</v>
      </c>
      <c r="G90" s="4">
        <v>44243</v>
      </c>
      <c r="H90" s="8">
        <v>59430</v>
      </c>
      <c r="I90" t="s">
        <v>16</v>
      </c>
    </row>
    <row r="91" spans="3:9" x14ac:dyDescent="0.25">
      <c r="C91" t="s">
        <v>93</v>
      </c>
      <c r="D91" t="s">
        <v>8</v>
      </c>
      <c r="E91" t="s">
        <v>21</v>
      </c>
      <c r="F91">
        <v>33</v>
      </c>
      <c r="G91" s="4">
        <v>44067</v>
      </c>
      <c r="H91" s="8">
        <v>65360</v>
      </c>
      <c r="I91" t="s">
        <v>16</v>
      </c>
    </row>
    <row r="92" spans="3:9" x14ac:dyDescent="0.25">
      <c r="C92" t="s">
        <v>66</v>
      </c>
      <c r="D92" t="s">
        <v>8</v>
      </c>
      <c r="E92" t="s">
        <v>9</v>
      </c>
      <c r="F92">
        <v>32</v>
      </c>
      <c r="G92" s="4">
        <v>44611</v>
      </c>
      <c r="H92" s="8">
        <v>41570</v>
      </c>
      <c r="I92" t="s">
        <v>16</v>
      </c>
    </row>
    <row r="93" spans="3:9" x14ac:dyDescent="0.25">
      <c r="C93" t="s">
        <v>95</v>
      </c>
      <c r="D93" t="s">
        <v>8</v>
      </c>
      <c r="E93" t="s">
        <v>12</v>
      </c>
      <c r="F93">
        <v>33</v>
      </c>
      <c r="G93" s="4">
        <v>44312</v>
      </c>
      <c r="H93" s="8">
        <v>75280</v>
      </c>
      <c r="I93" t="s">
        <v>16</v>
      </c>
    </row>
    <row r="94" spans="3:9" x14ac:dyDescent="0.25">
      <c r="C94" t="s">
        <v>18</v>
      </c>
      <c r="D94" t="s">
        <v>15</v>
      </c>
      <c r="E94" t="s">
        <v>19</v>
      </c>
      <c r="F94">
        <v>33</v>
      </c>
      <c r="G94" s="4">
        <v>44385</v>
      </c>
      <c r="H94" s="8">
        <v>74550</v>
      </c>
      <c r="I94" t="s">
        <v>16</v>
      </c>
    </row>
    <row r="95" spans="3:9" x14ac:dyDescent="0.25">
      <c r="C95" t="s">
        <v>45</v>
      </c>
      <c r="D95" t="s">
        <v>15</v>
      </c>
      <c r="E95" t="s">
        <v>9</v>
      </c>
      <c r="F95">
        <v>30</v>
      </c>
      <c r="G95" s="4">
        <v>44701</v>
      </c>
      <c r="H95" s="8">
        <v>67950</v>
      </c>
      <c r="I95" t="s">
        <v>16</v>
      </c>
    </row>
    <row r="96" spans="3:9" x14ac:dyDescent="0.25">
      <c r="C96" t="s">
        <v>90</v>
      </c>
      <c r="D96" t="s">
        <v>15</v>
      </c>
      <c r="E96" t="s">
        <v>21</v>
      </c>
      <c r="F96">
        <v>42</v>
      </c>
      <c r="G96" s="4">
        <v>44731</v>
      </c>
      <c r="H96" s="8">
        <v>70270</v>
      </c>
      <c r="I96" t="s">
        <v>24</v>
      </c>
    </row>
    <row r="97" spans="3:9" x14ac:dyDescent="0.25">
      <c r="C97" t="s">
        <v>46</v>
      </c>
      <c r="D97" t="s">
        <v>15</v>
      </c>
      <c r="E97" t="s">
        <v>9</v>
      </c>
      <c r="F97">
        <v>26</v>
      </c>
      <c r="G97" s="4">
        <v>44411</v>
      </c>
      <c r="H97" s="8">
        <v>53540</v>
      </c>
      <c r="I97" t="s">
        <v>16</v>
      </c>
    </row>
    <row r="98" spans="3:9" x14ac:dyDescent="0.25">
      <c r="C98" t="s">
        <v>58</v>
      </c>
      <c r="D98" t="s">
        <v>15</v>
      </c>
      <c r="E98" t="s">
        <v>19</v>
      </c>
      <c r="F98">
        <v>22</v>
      </c>
      <c r="G98" s="4">
        <v>44446</v>
      </c>
      <c r="H98" s="8">
        <v>112780</v>
      </c>
      <c r="I98" t="s">
        <v>13</v>
      </c>
    </row>
    <row r="99" spans="3:9" x14ac:dyDescent="0.25">
      <c r="C99" t="s">
        <v>70</v>
      </c>
      <c r="D99" t="s">
        <v>15</v>
      </c>
      <c r="E99" t="s">
        <v>9</v>
      </c>
      <c r="F99">
        <v>46</v>
      </c>
      <c r="G99" s="4">
        <v>44758</v>
      </c>
      <c r="H99" s="8">
        <v>70610</v>
      </c>
      <c r="I99" t="s">
        <v>16</v>
      </c>
    </row>
    <row r="100" spans="3:9" x14ac:dyDescent="0.25">
      <c r="C100" t="s">
        <v>75</v>
      </c>
      <c r="D100" t="s">
        <v>8</v>
      </c>
      <c r="E100" t="s">
        <v>19</v>
      </c>
      <c r="F100">
        <v>28</v>
      </c>
      <c r="G100" s="4">
        <v>44357</v>
      </c>
      <c r="H100" s="8">
        <v>53240</v>
      </c>
      <c r="I100" t="s">
        <v>16</v>
      </c>
    </row>
    <row r="101" spans="3:9" x14ac:dyDescent="0.25">
      <c r="C101" t="s">
        <v>49</v>
      </c>
      <c r="E101" t="s">
        <v>21</v>
      </c>
      <c r="F101">
        <v>37</v>
      </c>
      <c r="G101" s="4">
        <v>44146</v>
      </c>
      <c r="H101" s="8">
        <v>115440</v>
      </c>
      <c r="I101" t="s">
        <v>24</v>
      </c>
    </row>
    <row r="102" spans="3:9" x14ac:dyDescent="0.25">
      <c r="C102" t="s">
        <v>65</v>
      </c>
      <c r="D102" t="s">
        <v>15</v>
      </c>
      <c r="E102" t="s">
        <v>19</v>
      </c>
      <c r="F102">
        <v>32</v>
      </c>
      <c r="G102" s="4">
        <v>44465</v>
      </c>
      <c r="H102" s="8">
        <v>53540</v>
      </c>
      <c r="I102" t="s">
        <v>16</v>
      </c>
    </row>
    <row r="103" spans="3:9" x14ac:dyDescent="0.25">
      <c r="C103" t="s">
        <v>81</v>
      </c>
      <c r="D103" t="s">
        <v>8</v>
      </c>
      <c r="E103" t="s">
        <v>9</v>
      </c>
      <c r="F103">
        <v>30</v>
      </c>
      <c r="G103" s="4">
        <v>44861</v>
      </c>
      <c r="H103" s="8">
        <v>112570</v>
      </c>
      <c r="I103" t="s">
        <v>16</v>
      </c>
    </row>
    <row r="104" spans="3:9" x14ac:dyDescent="0.25">
      <c r="C104" t="s">
        <v>51</v>
      </c>
      <c r="D104" t="s">
        <v>15</v>
      </c>
      <c r="E104" t="s">
        <v>9</v>
      </c>
      <c r="F104">
        <v>33</v>
      </c>
      <c r="G104" s="4">
        <v>44701</v>
      </c>
      <c r="H104" s="8">
        <v>48530</v>
      </c>
      <c r="I104" t="s">
        <v>13</v>
      </c>
    </row>
    <row r="105" spans="3:9" x14ac:dyDescent="0.25">
      <c r="C105" t="s">
        <v>61</v>
      </c>
      <c r="D105" t="s">
        <v>8</v>
      </c>
      <c r="E105" t="s">
        <v>12</v>
      </c>
      <c r="F105">
        <v>24</v>
      </c>
      <c r="G105" s="4">
        <v>44148</v>
      </c>
      <c r="H105" s="8">
        <v>62780</v>
      </c>
      <c r="I105" t="s">
        <v>16</v>
      </c>
    </row>
    <row r="106" spans="3:9" x14ac:dyDescent="0.25">
      <c r="C106" t="s">
        <v>204</v>
      </c>
      <c r="F106">
        <f>SUBTOTAL(101,nz_staff[Age])</f>
        <v>30.52</v>
      </c>
      <c r="H106" s="8">
        <f>SUBTOTAL(101,nz_staff[Salary])</f>
        <v>77472.100000000006</v>
      </c>
      <c r="I106">
        <f>SUBTOTAL(103,nz_staff[Rating])</f>
        <v>100</v>
      </c>
    </row>
  </sheetData>
  <conditionalFormatting sqref="C6:C105">
    <cfRule type="duplicateValues" dxfId="196"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F6" sqref="F6"/>
    </sheetView>
  </sheetViews>
  <sheetFormatPr defaultRowHeight="15" x14ac:dyDescent="0.25"/>
  <cols>
    <col min="2" max="2" width="30" bestFit="1" customWidth="1"/>
    <col min="3" max="3" width="10" bestFit="1" customWidth="1"/>
    <col min="4" max="4" width="6.7109375" bestFit="1" customWidth="1"/>
    <col min="5" max="5" width="14.28515625" bestFit="1" customWidth="1"/>
    <col min="6" max="6" width="13.7109375" bestFit="1" customWidth="1"/>
    <col min="7" max="7" width="14" bestFit="1" customWidth="1"/>
    <col min="8" max="8" width="8.5703125" bestFit="1" customWidth="1"/>
  </cols>
  <sheetData>
    <row r="2" spans="2:8" x14ac:dyDescent="0.25">
      <c r="B2" s="5" t="s">
        <v>0</v>
      </c>
      <c r="C2" s="5" t="s">
        <v>1</v>
      </c>
      <c r="D2" s="5" t="s">
        <v>3</v>
      </c>
      <c r="E2" s="5" t="s">
        <v>6</v>
      </c>
      <c r="F2" s="5" t="s">
        <v>4</v>
      </c>
      <c r="G2" s="5" t="s">
        <v>2</v>
      </c>
      <c r="H2" s="5" t="s">
        <v>5</v>
      </c>
    </row>
    <row r="3" spans="2:8" x14ac:dyDescent="0.25">
      <c r="B3" t="s">
        <v>156</v>
      </c>
      <c r="C3" t="s">
        <v>15</v>
      </c>
      <c r="D3">
        <v>20</v>
      </c>
      <c r="E3" t="s">
        <v>16</v>
      </c>
      <c r="F3" s="4">
        <v>44122</v>
      </c>
      <c r="G3" t="s">
        <v>12</v>
      </c>
      <c r="H3">
        <v>112650</v>
      </c>
    </row>
    <row r="4" spans="2:8" x14ac:dyDescent="0.25">
      <c r="B4" t="s">
        <v>176</v>
      </c>
      <c r="C4" t="s">
        <v>8</v>
      </c>
      <c r="D4">
        <v>32</v>
      </c>
      <c r="E4" t="s">
        <v>13</v>
      </c>
      <c r="F4" s="4">
        <v>44293</v>
      </c>
      <c r="G4" t="s">
        <v>12</v>
      </c>
      <c r="H4">
        <v>43840</v>
      </c>
    </row>
    <row r="5" spans="2:8" x14ac:dyDescent="0.25">
      <c r="B5" t="s">
        <v>143</v>
      </c>
      <c r="C5" t="s">
        <v>15</v>
      </c>
      <c r="D5">
        <v>31</v>
      </c>
      <c r="E5" t="s">
        <v>16</v>
      </c>
      <c r="F5" s="4">
        <v>44663</v>
      </c>
      <c r="G5" t="s">
        <v>9</v>
      </c>
      <c r="H5">
        <v>103550</v>
      </c>
    </row>
    <row r="6" spans="2:8" x14ac:dyDescent="0.25">
      <c r="B6" t="s">
        <v>201</v>
      </c>
      <c r="C6" t="s">
        <v>8</v>
      </c>
      <c r="D6">
        <v>32</v>
      </c>
      <c r="E6" t="s">
        <v>16</v>
      </c>
      <c r="F6" s="4">
        <v>44339</v>
      </c>
      <c r="G6" t="s">
        <v>56</v>
      </c>
      <c r="H6">
        <v>45510</v>
      </c>
    </row>
    <row r="7" spans="2:8" x14ac:dyDescent="0.25">
      <c r="B7" t="s">
        <v>142</v>
      </c>
      <c r="D7">
        <v>37</v>
      </c>
      <c r="E7" t="s">
        <v>24</v>
      </c>
      <c r="F7" s="4">
        <v>44085</v>
      </c>
      <c r="G7" t="s">
        <v>21</v>
      </c>
      <c r="H7">
        <v>115440</v>
      </c>
    </row>
    <row r="8" spans="2:8" x14ac:dyDescent="0.25">
      <c r="B8" t="s">
        <v>202</v>
      </c>
      <c r="C8" t="s">
        <v>8</v>
      </c>
      <c r="D8">
        <v>38</v>
      </c>
      <c r="E8" t="s">
        <v>13</v>
      </c>
      <c r="F8" s="4">
        <v>44268</v>
      </c>
      <c r="G8" t="s">
        <v>19</v>
      </c>
      <c r="H8">
        <v>56870</v>
      </c>
    </row>
    <row r="9" spans="2:8" x14ac:dyDescent="0.25">
      <c r="B9" t="s">
        <v>169</v>
      </c>
      <c r="C9" t="s">
        <v>8</v>
      </c>
      <c r="D9">
        <v>25</v>
      </c>
      <c r="E9" t="s">
        <v>16</v>
      </c>
      <c r="F9" s="4">
        <v>44144</v>
      </c>
      <c r="G9" t="s">
        <v>19</v>
      </c>
      <c r="H9">
        <v>92700</v>
      </c>
    </row>
    <row r="10" spans="2:8" x14ac:dyDescent="0.25">
      <c r="B10" t="s">
        <v>145</v>
      </c>
      <c r="D10">
        <v>32</v>
      </c>
      <c r="E10" t="s">
        <v>16</v>
      </c>
      <c r="F10" s="4">
        <v>44713</v>
      </c>
      <c r="G10" t="s">
        <v>12</v>
      </c>
      <c r="H10">
        <v>91310</v>
      </c>
    </row>
    <row r="11" spans="2:8" x14ac:dyDescent="0.25">
      <c r="B11" t="s">
        <v>115</v>
      </c>
      <c r="C11" t="s">
        <v>15</v>
      </c>
      <c r="D11">
        <v>33</v>
      </c>
      <c r="E11" t="s">
        <v>16</v>
      </c>
      <c r="F11" s="4">
        <v>44324</v>
      </c>
      <c r="G11" t="s">
        <v>19</v>
      </c>
      <c r="H11">
        <v>74550</v>
      </c>
    </row>
    <row r="12" spans="2:8" x14ac:dyDescent="0.25">
      <c r="B12" t="s">
        <v>128</v>
      </c>
      <c r="C12" t="s">
        <v>15</v>
      </c>
      <c r="D12">
        <v>25</v>
      </c>
      <c r="E12" t="s">
        <v>13</v>
      </c>
      <c r="F12" s="4">
        <v>44665</v>
      </c>
      <c r="G12" t="s">
        <v>9</v>
      </c>
      <c r="H12">
        <v>109190</v>
      </c>
    </row>
    <row r="13" spans="2:8" x14ac:dyDescent="0.25">
      <c r="B13" t="s">
        <v>194</v>
      </c>
      <c r="C13" t="s">
        <v>8</v>
      </c>
      <c r="D13">
        <v>40</v>
      </c>
      <c r="E13" t="s">
        <v>16</v>
      </c>
      <c r="F13" s="4">
        <v>44320</v>
      </c>
      <c r="G13" t="s">
        <v>12</v>
      </c>
      <c r="H13">
        <v>104410</v>
      </c>
    </row>
    <row r="14" spans="2:8" x14ac:dyDescent="0.25">
      <c r="B14" t="s">
        <v>177</v>
      </c>
      <c r="C14" t="s">
        <v>15</v>
      </c>
      <c r="D14">
        <v>30</v>
      </c>
      <c r="E14" t="s">
        <v>16</v>
      </c>
      <c r="F14" s="4">
        <v>44544</v>
      </c>
      <c r="G14" t="s">
        <v>21</v>
      </c>
      <c r="H14">
        <v>96800</v>
      </c>
    </row>
    <row r="15" spans="2:8" x14ac:dyDescent="0.25">
      <c r="B15" t="s">
        <v>123</v>
      </c>
      <c r="C15" t="s">
        <v>15</v>
      </c>
      <c r="D15">
        <v>28</v>
      </c>
      <c r="E15" t="s">
        <v>13</v>
      </c>
      <c r="F15" s="4">
        <v>43980</v>
      </c>
      <c r="G15" t="s">
        <v>21</v>
      </c>
      <c r="H15">
        <v>48170</v>
      </c>
    </row>
    <row r="16" spans="2:8" x14ac:dyDescent="0.25">
      <c r="B16" t="s">
        <v>140</v>
      </c>
      <c r="C16" t="s">
        <v>15</v>
      </c>
      <c r="D16">
        <v>21</v>
      </c>
      <c r="E16" t="s">
        <v>16</v>
      </c>
      <c r="F16" s="4">
        <v>44042</v>
      </c>
      <c r="G16" t="s">
        <v>9</v>
      </c>
      <c r="H16">
        <v>37920</v>
      </c>
    </row>
    <row r="17" spans="2:8" x14ac:dyDescent="0.25">
      <c r="B17" t="s">
        <v>178</v>
      </c>
      <c r="C17" t="s">
        <v>15</v>
      </c>
      <c r="D17">
        <v>34</v>
      </c>
      <c r="E17" t="s">
        <v>16</v>
      </c>
      <c r="F17" s="4">
        <v>44642</v>
      </c>
      <c r="G17" t="s">
        <v>9</v>
      </c>
      <c r="H17">
        <v>112650</v>
      </c>
    </row>
    <row r="18" spans="2:8" x14ac:dyDescent="0.25">
      <c r="B18" t="s">
        <v>165</v>
      </c>
      <c r="C18" t="s">
        <v>8</v>
      </c>
      <c r="D18">
        <v>34</v>
      </c>
      <c r="E18" t="s">
        <v>24</v>
      </c>
      <c r="F18" s="4">
        <v>44660</v>
      </c>
      <c r="G18" t="s">
        <v>19</v>
      </c>
      <c r="H18">
        <v>49630</v>
      </c>
    </row>
    <row r="19" spans="2:8" x14ac:dyDescent="0.25">
      <c r="B19" t="s">
        <v>199</v>
      </c>
      <c r="C19" t="s">
        <v>15</v>
      </c>
      <c r="D19">
        <v>36</v>
      </c>
      <c r="E19" t="s">
        <v>16</v>
      </c>
      <c r="F19" s="4">
        <v>43958</v>
      </c>
      <c r="G19" t="s">
        <v>12</v>
      </c>
      <c r="H19">
        <v>118840</v>
      </c>
    </row>
    <row r="20" spans="2:8" x14ac:dyDescent="0.25">
      <c r="B20" t="s">
        <v>159</v>
      </c>
      <c r="C20" t="s">
        <v>15</v>
      </c>
      <c r="D20">
        <v>30</v>
      </c>
      <c r="E20" t="s">
        <v>16</v>
      </c>
      <c r="F20" s="4">
        <v>44789</v>
      </c>
      <c r="G20" t="s">
        <v>12</v>
      </c>
      <c r="H20">
        <v>69710</v>
      </c>
    </row>
    <row r="21" spans="2:8" x14ac:dyDescent="0.25">
      <c r="B21" t="s">
        <v>197</v>
      </c>
      <c r="C21" t="s">
        <v>15</v>
      </c>
      <c r="D21">
        <v>20</v>
      </c>
      <c r="E21" t="s">
        <v>16</v>
      </c>
      <c r="F21" s="4">
        <v>44683</v>
      </c>
      <c r="G21" t="s">
        <v>9</v>
      </c>
      <c r="H21">
        <v>79570</v>
      </c>
    </row>
    <row r="22" spans="2:8" x14ac:dyDescent="0.25">
      <c r="B22" t="s">
        <v>154</v>
      </c>
      <c r="C22" t="s">
        <v>8</v>
      </c>
      <c r="D22">
        <v>22</v>
      </c>
      <c r="E22" t="s">
        <v>13</v>
      </c>
      <c r="F22" s="4">
        <v>44388</v>
      </c>
      <c r="G22" t="s">
        <v>9</v>
      </c>
      <c r="H22">
        <v>76900</v>
      </c>
    </row>
    <row r="23" spans="2:8" x14ac:dyDescent="0.25">
      <c r="B23" t="s">
        <v>182</v>
      </c>
      <c r="C23" t="s">
        <v>15</v>
      </c>
      <c r="D23">
        <v>27</v>
      </c>
      <c r="E23" t="s">
        <v>16</v>
      </c>
      <c r="F23" s="4">
        <v>44073</v>
      </c>
      <c r="G23" t="s">
        <v>19</v>
      </c>
      <c r="H23">
        <v>54970</v>
      </c>
    </row>
    <row r="24" spans="2:8" x14ac:dyDescent="0.25">
      <c r="B24" t="s">
        <v>118</v>
      </c>
      <c r="C24" t="s">
        <v>15</v>
      </c>
      <c r="D24">
        <v>37</v>
      </c>
      <c r="E24" t="s">
        <v>24</v>
      </c>
      <c r="F24" s="4">
        <v>44277</v>
      </c>
      <c r="G24" t="s">
        <v>12</v>
      </c>
      <c r="H24">
        <v>88050</v>
      </c>
    </row>
    <row r="25" spans="2:8" x14ac:dyDescent="0.25">
      <c r="B25" t="s">
        <v>192</v>
      </c>
      <c r="C25" t="s">
        <v>15</v>
      </c>
      <c r="D25">
        <v>43</v>
      </c>
      <c r="E25" t="s">
        <v>16</v>
      </c>
      <c r="F25" s="4">
        <v>44558</v>
      </c>
      <c r="G25" t="s">
        <v>19</v>
      </c>
      <c r="H25">
        <v>36040</v>
      </c>
    </row>
    <row r="26" spans="2:8" x14ac:dyDescent="0.25">
      <c r="B26" t="s">
        <v>111</v>
      </c>
      <c r="C26" t="s">
        <v>8</v>
      </c>
      <c r="D26">
        <v>42</v>
      </c>
      <c r="E26" t="s">
        <v>10</v>
      </c>
      <c r="F26" s="4">
        <v>44718</v>
      </c>
      <c r="G26" t="s">
        <v>9</v>
      </c>
      <c r="H26">
        <v>75000</v>
      </c>
    </row>
    <row r="27" spans="2:8" x14ac:dyDescent="0.25">
      <c r="B27" t="s">
        <v>149</v>
      </c>
      <c r="C27" t="s">
        <v>15</v>
      </c>
      <c r="D27">
        <v>35</v>
      </c>
      <c r="E27" t="s">
        <v>16</v>
      </c>
      <c r="F27" s="4">
        <v>44666</v>
      </c>
      <c r="G27" t="s">
        <v>9</v>
      </c>
      <c r="H27">
        <v>40400</v>
      </c>
    </row>
    <row r="28" spans="2:8" x14ac:dyDescent="0.25">
      <c r="B28" t="s">
        <v>196</v>
      </c>
      <c r="C28" t="s">
        <v>15</v>
      </c>
      <c r="D28">
        <v>24</v>
      </c>
      <c r="E28" t="s">
        <v>16</v>
      </c>
      <c r="F28" s="4">
        <v>44625</v>
      </c>
      <c r="G28" t="s">
        <v>12</v>
      </c>
      <c r="H28">
        <v>100420</v>
      </c>
    </row>
    <row r="29" spans="2:8" x14ac:dyDescent="0.25">
      <c r="B29" t="s">
        <v>120</v>
      </c>
      <c r="C29" t="s">
        <v>8</v>
      </c>
      <c r="D29">
        <v>31</v>
      </c>
      <c r="E29" t="s">
        <v>16</v>
      </c>
      <c r="F29" s="4">
        <v>44604</v>
      </c>
      <c r="G29" t="s">
        <v>12</v>
      </c>
      <c r="H29">
        <v>58100</v>
      </c>
    </row>
    <row r="30" spans="2:8" x14ac:dyDescent="0.25">
      <c r="B30" t="s">
        <v>114</v>
      </c>
      <c r="C30" t="s">
        <v>8</v>
      </c>
      <c r="D30">
        <v>44</v>
      </c>
      <c r="E30" t="s">
        <v>16</v>
      </c>
      <c r="F30" s="4">
        <v>44985</v>
      </c>
      <c r="G30" t="s">
        <v>12</v>
      </c>
      <c r="H30">
        <v>114870</v>
      </c>
    </row>
    <row r="31" spans="2:8" x14ac:dyDescent="0.25">
      <c r="B31" t="s">
        <v>158</v>
      </c>
      <c r="C31" t="s">
        <v>8</v>
      </c>
      <c r="D31">
        <v>32</v>
      </c>
      <c r="E31" t="s">
        <v>16</v>
      </c>
      <c r="F31" s="4">
        <v>44549</v>
      </c>
      <c r="G31" t="s">
        <v>9</v>
      </c>
      <c r="H31">
        <v>41570</v>
      </c>
    </row>
    <row r="32" spans="2:8" x14ac:dyDescent="0.25">
      <c r="B32" t="s">
        <v>173</v>
      </c>
      <c r="C32" t="s">
        <v>8</v>
      </c>
      <c r="D32">
        <v>30</v>
      </c>
      <c r="E32" t="s">
        <v>16</v>
      </c>
      <c r="F32" s="4">
        <v>44800</v>
      </c>
      <c r="G32" t="s">
        <v>9</v>
      </c>
      <c r="H32">
        <v>112570</v>
      </c>
    </row>
    <row r="33" spans="2:8" x14ac:dyDescent="0.25">
      <c r="B33" t="s">
        <v>151</v>
      </c>
      <c r="C33" t="s">
        <v>15</v>
      </c>
      <c r="D33">
        <v>26</v>
      </c>
      <c r="E33" t="s">
        <v>16</v>
      </c>
      <c r="F33" s="4">
        <v>44164</v>
      </c>
      <c r="G33" t="s">
        <v>9</v>
      </c>
      <c r="H33">
        <v>47360</v>
      </c>
    </row>
    <row r="34" spans="2:8" x14ac:dyDescent="0.25">
      <c r="B34" t="s">
        <v>126</v>
      </c>
      <c r="C34" t="s">
        <v>8</v>
      </c>
      <c r="D34">
        <v>21</v>
      </c>
      <c r="E34" t="s">
        <v>16</v>
      </c>
      <c r="F34" s="4">
        <v>44256</v>
      </c>
      <c r="G34" t="s">
        <v>21</v>
      </c>
      <c r="H34">
        <v>65920</v>
      </c>
    </row>
    <row r="35" spans="2:8" x14ac:dyDescent="0.25">
      <c r="B35" t="s">
        <v>200</v>
      </c>
      <c r="C35" t="s">
        <v>8</v>
      </c>
      <c r="D35">
        <v>28</v>
      </c>
      <c r="E35" t="s">
        <v>16</v>
      </c>
      <c r="F35" s="4">
        <v>44571</v>
      </c>
      <c r="G35" t="s">
        <v>9</v>
      </c>
      <c r="H35">
        <v>99970</v>
      </c>
    </row>
    <row r="36" spans="2:8" x14ac:dyDescent="0.25">
      <c r="B36" t="s">
        <v>133</v>
      </c>
      <c r="C36" t="s">
        <v>8</v>
      </c>
      <c r="D36">
        <v>25</v>
      </c>
      <c r="E36" t="s">
        <v>13</v>
      </c>
      <c r="F36" s="4">
        <v>44633</v>
      </c>
      <c r="G36" t="s">
        <v>12</v>
      </c>
      <c r="H36">
        <v>80700</v>
      </c>
    </row>
    <row r="37" spans="2:8" x14ac:dyDescent="0.25">
      <c r="B37" t="s">
        <v>155</v>
      </c>
      <c r="C37" t="s">
        <v>15</v>
      </c>
      <c r="D37">
        <v>24</v>
      </c>
      <c r="E37" t="s">
        <v>24</v>
      </c>
      <c r="F37" s="4">
        <v>44375</v>
      </c>
      <c r="G37" t="s">
        <v>21</v>
      </c>
      <c r="H37">
        <v>52610</v>
      </c>
    </row>
    <row r="38" spans="2:8" x14ac:dyDescent="0.25">
      <c r="B38" t="s">
        <v>180</v>
      </c>
      <c r="C38" t="s">
        <v>15</v>
      </c>
      <c r="D38">
        <v>29</v>
      </c>
      <c r="E38" t="s">
        <v>24</v>
      </c>
      <c r="F38" s="4">
        <v>44119</v>
      </c>
      <c r="G38" t="s">
        <v>12</v>
      </c>
      <c r="H38">
        <v>112110</v>
      </c>
    </row>
    <row r="39" spans="2:8" x14ac:dyDescent="0.25">
      <c r="B39" t="s">
        <v>152</v>
      </c>
      <c r="C39" t="s">
        <v>8</v>
      </c>
      <c r="D39">
        <v>27</v>
      </c>
      <c r="E39" t="s">
        <v>16</v>
      </c>
      <c r="F39" s="4">
        <v>44061</v>
      </c>
      <c r="G39" t="s">
        <v>56</v>
      </c>
      <c r="H39">
        <v>119110</v>
      </c>
    </row>
    <row r="40" spans="2:8" x14ac:dyDescent="0.25">
      <c r="B40" t="s">
        <v>150</v>
      </c>
      <c r="C40" t="s">
        <v>15</v>
      </c>
      <c r="D40">
        <v>22</v>
      </c>
      <c r="E40" t="s">
        <v>13</v>
      </c>
      <c r="F40" s="4">
        <v>44384</v>
      </c>
      <c r="G40" t="s">
        <v>19</v>
      </c>
      <c r="H40">
        <v>112780</v>
      </c>
    </row>
    <row r="41" spans="2:8" x14ac:dyDescent="0.25">
      <c r="B41" t="s">
        <v>175</v>
      </c>
      <c r="C41" t="s">
        <v>8</v>
      </c>
      <c r="D41">
        <v>36</v>
      </c>
      <c r="E41" t="s">
        <v>16</v>
      </c>
      <c r="F41" s="4">
        <v>44023</v>
      </c>
      <c r="G41" t="s">
        <v>9</v>
      </c>
      <c r="H41">
        <v>114890</v>
      </c>
    </row>
    <row r="42" spans="2:8" x14ac:dyDescent="0.25">
      <c r="B42" t="s">
        <v>146</v>
      </c>
      <c r="C42" t="s">
        <v>15</v>
      </c>
      <c r="D42">
        <v>27</v>
      </c>
      <c r="E42" t="s">
        <v>16</v>
      </c>
      <c r="F42" s="4">
        <v>44506</v>
      </c>
      <c r="G42" t="s">
        <v>21</v>
      </c>
      <c r="H42">
        <v>48980</v>
      </c>
    </row>
    <row r="43" spans="2:8" x14ac:dyDescent="0.25">
      <c r="B43" t="s">
        <v>170</v>
      </c>
      <c r="C43" t="s">
        <v>15</v>
      </c>
      <c r="D43">
        <v>21</v>
      </c>
      <c r="E43" t="s">
        <v>16</v>
      </c>
      <c r="F43" s="4">
        <v>44180</v>
      </c>
      <c r="G43" t="s">
        <v>56</v>
      </c>
      <c r="H43">
        <v>75880</v>
      </c>
    </row>
    <row r="44" spans="2:8" x14ac:dyDescent="0.25">
      <c r="B44" t="s">
        <v>167</v>
      </c>
      <c r="C44" t="s">
        <v>8</v>
      </c>
      <c r="D44">
        <v>28</v>
      </c>
      <c r="E44" t="s">
        <v>16</v>
      </c>
      <c r="F44" s="4">
        <v>44296</v>
      </c>
      <c r="G44" t="s">
        <v>19</v>
      </c>
      <c r="H44">
        <v>53240</v>
      </c>
    </row>
    <row r="45" spans="2:8" x14ac:dyDescent="0.25">
      <c r="B45" t="s">
        <v>122</v>
      </c>
      <c r="C45" t="s">
        <v>8</v>
      </c>
      <c r="D45">
        <v>34</v>
      </c>
      <c r="E45" t="s">
        <v>16</v>
      </c>
      <c r="F45" s="4">
        <v>44397</v>
      </c>
      <c r="G45" t="s">
        <v>21</v>
      </c>
      <c r="H45">
        <v>85000</v>
      </c>
    </row>
    <row r="46" spans="2:8" x14ac:dyDescent="0.25">
      <c r="B46" t="s">
        <v>179</v>
      </c>
      <c r="C46" t="s">
        <v>8</v>
      </c>
      <c r="D46">
        <v>21</v>
      </c>
      <c r="E46" t="s">
        <v>16</v>
      </c>
      <c r="F46" s="4">
        <v>44619</v>
      </c>
      <c r="G46" t="s">
        <v>12</v>
      </c>
      <c r="H46">
        <v>33920</v>
      </c>
    </row>
    <row r="47" spans="2:8" x14ac:dyDescent="0.25">
      <c r="B47" t="s">
        <v>188</v>
      </c>
      <c r="C47" t="s">
        <v>8</v>
      </c>
      <c r="D47">
        <v>33</v>
      </c>
      <c r="E47" t="s">
        <v>16</v>
      </c>
      <c r="F47" s="4">
        <v>44253</v>
      </c>
      <c r="G47" t="s">
        <v>12</v>
      </c>
      <c r="H47">
        <v>75280</v>
      </c>
    </row>
    <row r="48" spans="2:8" x14ac:dyDescent="0.25">
      <c r="B48" t="s">
        <v>130</v>
      </c>
      <c r="C48" t="s">
        <v>8</v>
      </c>
      <c r="D48">
        <v>34</v>
      </c>
      <c r="E48" t="s">
        <v>16</v>
      </c>
      <c r="F48" s="4">
        <v>44594</v>
      </c>
      <c r="G48" t="s">
        <v>21</v>
      </c>
      <c r="H48">
        <v>58940</v>
      </c>
    </row>
    <row r="49" spans="2:8" x14ac:dyDescent="0.25">
      <c r="B49" t="s">
        <v>136</v>
      </c>
      <c r="C49" t="s">
        <v>8</v>
      </c>
      <c r="D49">
        <v>28</v>
      </c>
      <c r="E49" t="s">
        <v>16</v>
      </c>
      <c r="F49" s="4">
        <v>44425</v>
      </c>
      <c r="G49" t="s">
        <v>9</v>
      </c>
      <c r="H49">
        <v>104770</v>
      </c>
    </row>
    <row r="50" spans="2:8" x14ac:dyDescent="0.25">
      <c r="B50" t="s">
        <v>125</v>
      </c>
      <c r="C50" t="s">
        <v>15</v>
      </c>
      <c r="D50">
        <v>21</v>
      </c>
      <c r="E50" t="s">
        <v>16</v>
      </c>
      <c r="F50" s="4">
        <v>44701</v>
      </c>
      <c r="G50" t="s">
        <v>9</v>
      </c>
      <c r="H50">
        <v>57090</v>
      </c>
    </row>
    <row r="51" spans="2:8" x14ac:dyDescent="0.25">
      <c r="B51" t="s">
        <v>160</v>
      </c>
      <c r="C51" t="s">
        <v>15</v>
      </c>
      <c r="D51">
        <v>27</v>
      </c>
      <c r="E51" t="s">
        <v>13</v>
      </c>
      <c r="F51" s="4">
        <v>44174</v>
      </c>
      <c r="G51" t="s">
        <v>21</v>
      </c>
      <c r="H51">
        <v>91650</v>
      </c>
    </row>
    <row r="52" spans="2:8" x14ac:dyDescent="0.25">
      <c r="B52" t="s">
        <v>183</v>
      </c>
      <c r="C52" t="s">
        <v>15</v>
      </c>
      <c r="D52">
        <v>42</v>
      </c>
      <c r="E52" t="s">
        <v>24</v>
      </c>
      <c r="F52" s="4">
        <v>44670</v>
      </c>
      <c r="G52" t="s">
        <v>21</v>
      </c>
      <c r="H52">
        <v>70270</v>
      </c>
    </row>
    <row r="53" spans="2:8" x14ac:dyDescent="0.25">
      <c r="B53" t="s">
        <v>129</v>
      </c>
      <c r="C53" t="s">
        <v>8</v>
      </c>
      <c r="D53">
        <v>28</v>
      </c>
      <c r="E53" t="s">
        <v>16</v>
      </c>
      <c r="F53" s="4">
        <v>44124</v>
      </c>
      <c r="G53" t="s">
        <v>21</v>
      </c>
      <c r="H53">
        <v>75970</v>
      </c>
    </row>
    <row r="54" spans="2:8" x14ac:dyDescent="0.25">
      <c r="B54" t="s">
        <v>112</v>
      </c>
      <c r="D54">
        <v>27</v>
      </c>
      <c r="E54" t="s">
        <v>13</v>
      </c>
      <c r="F54" s="4">
        <v>44212</v>
      </c>
      <c r="G54" t="s">
        <v>12</v>
      </c>
      <c r="H54">
        <v>90700</v>
      </c>
    </row>
    <row r="55" spans="2:8" x14ac:dyDescent="0.25">
      <c r="B55" t="s">
        <v>131</v>
      </c>
      <c r="C55" t="s">
        <v>15</v>
      </c>
      <c r="D55">
        <v>30</v>
      </c>
      <c r="E55" t="s">
        <v>16</v>
      </c>
      <c r="F55" s="4">
        <v>44607</v>
      </c>
      <c r="G55" t="s">
        <v>9</v>
      </c>
      <c r="H55">
        <v>60570</v>
      </c>
    </row>
    <row r="56" spans="2:8" x14ac:dyDescent="0.25">
      <c r="B56" t="s">
        <v>134</v>
      </c>
      <c r="C56" t="s">
        <v>15</v>
      </c>
      <c r="D56">
        <v>33</v>
      </c>
      <c r="E56" t="s">
        <v>16</v>
      </c>
      <c r="F56" s="4">
        <v>44103</v>
      </c>
      <c r="G56" t="s">
        <v>9</v>
      </c>
      <c r="H56">
        <v>115920</v>
      </c>
    </row>
    <row r="57" spans="2:8" x14ac:dyDescent="0.25">
      <c r="B57" t="s">
        <v>186</v>
      </c>
      <c r="C57" t="s">
        <v>8</v>
      </c>
      <c r="D57">
        <v>33</v>
      </c>
      <c r="E57" t="s">
        <v>16</v>
      </c>
      <c r="F57" s="4">
        <v>44006</v>
      </c>
      <c r="G57" t="s">
        <v>21</v>
      </c>
      <c r="H57">
        <v>65360</v>
      </c>
    </row>
    <row r="58" spans="2:8" x14ac:dyDescent="0.25">
      <c r="B58" t="s">
        <v>116</v>
      </c>
      <c r="D58">
        <v>30</v>
      </c>
      <c r="E58" t="s">
        <v>16</v>
      </c>
      <c r="F58" s="4">
        <v>44535</v>
      </c>
      <c r="G58" t="s">
        <v>21</v>
      </c>
      <c r="H58">
        <v>64000</v>
      </c>
    </row>
    <row r="59" spans="2:8" x14ac:dyDescent="0.25">
      <c r="B59" t="s">
        <v>195</v>
      </c>
      <c r="C59" t="s">
        <v>8</v>
      </c>
      <c r="D59">
        <v>34</v>
      </c>
      <c r="E59" t="s">
        <v>16</v>
      </c>
      <c r="F59" s="4">
        <v>44383</v>
      </c>
      <c r="G59" t="s">
        <v>21</v>
      </c>
      <c r="H59">
        <v>92450</v>
      </c>
    </row>
    <row r="60" spans="2:8" x14ac:dyDescent="0.25">
      <c r="B60" t="s">
        <v>113</v>
      </c>
      <c r="C60" t="s">
        <v>15</v>
      </c>
      <c r="D60">
        <v>31</v>
      </c>
      <c r="E60" t="s">
        <v>16</v>
      </c>
      <c r="F60" s="4">
        <v>44450</v>
      </c>
      <c r="G60" t="s">
        <v>12</v>
      </c>
      <c r="H60">
        <v>48950</v>
      </c>
    </row>
    <row r="61" spans="2:8" x14ac:dyDescent="0.25">
      <c r="B61" t="s">
        <v>185</v>
      </c>
      <c r="C61" t="s">
        <v>8</v>
      </c>
      <c r="D61">
        <v>27</v>
      </c>
      <c r="E61" t="s">
        <v>16</v>
      </c>
      <c r="F61" s="4">
        <v>44625</v>
      </c>
      <c r="G61" t="s">
        <v>12</v>
      </c>
      <c r="H61">
        <v>83750</v>
      </c>
    </row>
    <row r="62" spans="2:8" x14ac:dyDescent="0.25">
      <c r="B62" t="s">
        <v>166</v>
      </c>
      <c r="C62" t="s">
        <v>8</v>
      </c>
      <c r="D62">
        <v>40</v>
      </c>
      <c r="E62" t="s">
        <v>16</v>
      </c>
      <c r="F62" s="4">
        <v>44276</v>
      </c>
      <c r="G62" t="s">
        <v>12</v>
      </c>
      <c r="H62">
        <v>87620</v>
      </c>
    </row>
    <row r="63" spans="2:8" x14ac:dyDescent="0.25">
      <c r="B63" t="s">
        <v>184</v>
      </c>
      <c r="C63" t="s">
        <v>8</v>
      </c>
      <c r="D63">
        <v>20</v>
      </c>
      <c r="E63" t="s">
        <v>24</v>
      </c>
      <c r="F63" s="4">
        <v>44476</v>
      </c>
      <c r="G63" t="s">
        <v>19</v>
      </c>
      <c r="H63">
        <v>68900</v>
      </c>
    </row>
    <row r="64" spans="2:8" x14ac:dyDescent="0.25">
      <c r="B64" t="s">
        <v>157</v>
      </c>
      <c r="C64" t="s">
        <v>15</v>
      </c>
      <c r="D64">
        <v>32</v>
      </c>
      <c r="E64" t="s">
        <v>16</v>
      </c>
      <c r="F64" s="4">
        <v>44403</v>
      </c>
      <c r="G64" t="s">
        <v>19</v>
      </c>
      <c r="H64">
        <v>53540</v>
      </c>
    </row>
    <row r="65" spans="2:8" x14ac:dyDescent="0.25">
      <c r="B65" t="s">
        <v>172</v>
      </c>
      <c r="C65" t="s">
        <v>15</v>
      </c>
      <c r="D65">
        <v>28</v>
      </c>
      <c r="E65" t="s">
        <v>42</v>
      </c>
      <c r="F65" s="4">
        <v>44758</v>
      </c>
      <c r="G65" t="s">
        <v>19</v>
      </c>
      <c r="H65">
        <v>43510</v>
      </c>
    </row>
    <row r="66" spans="2:8" x14ac:dyDescent="0.25">
      <c r="B66" t="s">
        <v>127</v>
      </c>
      <c r="C66" t="s">
        <v>8</v>
      </c>
      <c r="D66">
        <v>38</v>
      </c>
      <c r="E66" t="s">
        <v>10</v>
      </c>
      <c r="F66" s="4">
        <v>44316</v>
      </c>
      <c r="G66" t="s">
        <v>19</v>
      </c>
      <c r="H66">
        <v>109160</v>
      </c>
    </row>
    <row r="67" spans="2:8" x14ac:dyDescent="0.25">
      <c r="B67" t="s">
        <v>198</v>
      </c>
      <c r="C67" t="s">
        <v>15</v>
      </c>
      <c r="D67">
        <v>40</v>
      </c>
      <c r="E67" t="s">
        <v>16</v>
      </c>
      <c r="F67" s="4">
        <v>44204</v>
      </c>
      <c r="G67" t="s">
        <v>9</v>
      </c>
      <c r="H67">
        <v>99750</v>
      </c>
    </row>
    <row r="68" spans="2:8" x14ac:dyDescent="0.25">
      <c r="B68" t="s">
        <v>124</v>
      </c>
      <c r="C68" t="s">
        <v>8</v>
      </c>
      <c r="D68">
        <v>31</v>
      </c>
      <c r="E68" t="s">
        <v>16</v>
      </c>
      <c r="F68" s="4">
        <v>44084</v>
      </c>
      <c r="G68" t="s">
        <v>12</v>
      </c>
      <c r="H68">
        <v>41980</v>
      </c>
    </row>
    <row r="69" spans="2:8" x14ac:dyDescent="0.25">
      <c r="B69" t="s">
        <v>187</v>
      </c>
      <c r="C69" t="s">
        <v>15</v>
      </c>
      <c r="D69">
        <v>36</v>
      </c>
      <c r="E69" t="s">
        <v>16</v>
      </c>
      <c r="F69" s="4">
        <v>44272</v>
      </c>
      <c r="G69" t="s">
        <v>21</v>
      </c>
      <c r="H69">
        <v>71380</v>
      </c>
    </row>
    <row r="70" spans="2:8" x14ac:dyDescent="0.25">
      <c r="B70" t="s">
        <v>191</v>
      </c>
      <c r="C70" t="s">
        <v>15</v>
      </c>
      <c r="D70">
        <v>27</v>
      </c>
      <c r="E70" t="s">
        <v>42</v>
      </c>
      <c r="F70" s="4">
        <v>44547</v>
      </c>
      <c r="G70" t="s">
        <v>9</v>
      </c>
      <c r="H70">
        <v>113280</v>
      </c>
    </row>
    <row r="71" spans="2:8" x14ac:dyDescent="0.25">
      <c r="B71" t="s">
        <v>181</v>
      </c>
      <c r="C71" t="s">
        <v>8</v>
      </c>
      <c r="D71">
        <v>33</v>
      </c>
      <c r="E71" t="s">
        <v>16</v>
      </c>
      <c r="F71" s="4">
        <v>44747</v>
      </c>
      <c r="G71" t="s">
        <v>21</v>
      </c>
      <c r="H71">
        <v>86570</v>
      </c>
    </row>
    <row r="72" spans="2:8" x14ac:dyDescent="0.25">
      <c r="B72" t="s">
        <v>139</v>
      </c>
      <c r="C72" t="s">
        <v>15</v>
      </c>
      <c r="D72">
        <v>26</v>
      </c>
      <c r="E72" t="s">
        <v>16</v>
      </c>
      <c r="F72" s="4">
        <v>44350</v>
      </c>
      <c r="G72" t="s">
        <v>9</v>
      </c>
      <c r="H72">
        <v>53540</v>
      </c>
    </row>
    <row r="73" spans="2:8" x14ac:dyDescent="0.25">
      <c r="B73" t="s">
        <v>190</v>
      </c>
      <c r="C73" t="s">
        <v>15</v>
      </c>
      <c r="D73">
        <v>37</v>
      </c>
      <c r="E73" t="s">
        <v>16</v>
      </c>
      <c r="F73" s="4">
        <v>44640</v>
      </c>
      <c r="G73" t="s">
        <v>12</v>
      </c>
      <c r="H73">
        <v>69070</v>
      </c>
    </row>
    <row r="74" spans="2:8" x14ac:dyDescent="0.25">
      <c r="B74" t="s">
        <v>121</v>
      </c>
      <c r="C74" t="s">
        <v>8</v>
      </c>
      <c r="D74">
        <v>30</v>
      </c>
      <c r="E74" t="s">
        <v>24</v>
      </c>
      <c r="F74" s="4">
        <v>44328</v>
      </c>
      <c r="G74" t="s">
        <v>21</v>
      </c>
      <c r="H74">
        <v>67910</v>
      </c>
    </row>
    <row r="75" spans="2:8" x14ac:dyDescent="0.25">
      <c r="B75" t="s">
        <v>119</v>
      </c>
      <c r="C75" t="s">
        <v>15</v>
      </c>
      <c r="D75">
        <v>30</v>
      </c>
      <c r="E75" t="s">
        <v>16</v>
      </c>
      <c r="F75" s="4">
        <v>44214</v>
      </c>
      <c r="G75" t="s">
        <v>12</v>
      </c>
      <c r="H75">
        <v>69120</v>
      </c>
    </row>
    <row r="76" spans="2:8" x14ac:dyDescent="0.25">
      <c r="B76" t="s">
        <v>132</v>
      </c>
      <c r="C76" t="s">
        <v>8</v>
      </c>
      <c r="D76">
        <v>34</v>
      </c>
      <c r="E76" t="s">
        <v>16</v>
      </c>
      <c r="F76" s="4">
        <v>44550</v>
      </c>
      <c r="G76" t="s">
        <v>21</v>
      </c>
      <c r="H76">
        <v>60130</v>
      </c>
    </row>
    <row r="77" spans="2:8" x14ac:dyDescent="0.25">
      <c r="B77" t="s">
        <v>161</v>
      </c>
      <c r="C77" t="s">
        <v>15</v>
      </c>
      <c r="D77">
        <v>23</v>
      </c>
      <c r="E77" t="s">
        <v>16</v>
      </c>
      <c r="F77" s="4">
        <v>44378</v>
      </c>
      <c r="G77" t="s">
        <v>9</v>
      </c>
      <c r="H77">
        <v>106460</v>
      </c>
    </row>
    <row r="78" spans="2:8" x14ac:dyDescent="0.25">
      <c r="B78" t="s">
        <v>148</v>
      </c>
      <c r="C78" t="s">
        <v>8</v>
      </c>
      <c r="D78">
        <v>37</v>
      </c>
      <c r="E78" t="s">
        <v>16</v>
      </c>
      <c r="F78" s="4">
        <v>44389</v>
      </c>
      <c r="G78" t="s">
        <v>56</v>
      </c>
      <c r="H78">
        <v>118100</v>
      </c>
    </row>
    <row r="79" spans="2:8" x14ac:dyDescent="0.25">
      <c r="B79" t="s">
        <v>164</v>
      </c>
      <c r="C79" t="s">
        <v>8</v>
      </c>
      <c r="D79">
        <v>36</v>
      </c>
      <c r="E79" t="s">
        <v>16</v>
      </c>
      <c r="F79" s="4">
        <v>44468</v>
      </c>
      <c r="G79" t="s">
        <v>9</v>
      </c>
      <c r="H79">
        <v>78390</v>
      </c>
    </row>
    <row r="80" spans="2:8" x14ac:dyDescent="0.25">
      <c r="B80" t="s">
        <v>147</v>
      </c>
      <c r="C80" t="s">
        <v>8</v>
      </c>
      <c r="D80">
        <v>30</v>
      </c>
      <c r="E80" t="s">
        <v>16</v>
      </c>
      <c r="F80" s="4">
        <v>44789</v>
      </c>
      <c r="G80" t="s">
        <v>9</v>
      </c>
      <c r="H80">
        <v>114180</v>
      </c>
    </row>
    <row r="81" spans="2:8" x14ac:dyDescent="0.25">
      <c r="B81" t="s">
        <v>189</v>
      </c>
      <c r="C81" t="s">
        <v>8</v>
      </c>
      <c r="D81">
        <v>28</v>
      </c>
      <c r="E81" t="s">
        <v>16</v>
      </c>
      <c r="F81" s="4">
        <v>44590</v>
      </c>
      <c r="G81" t="s">
        <v>9</v>
      </c>
      <c r="H81">
        <v>104120</v>
      </c>
    </row>
    <row r="82" spans="2:8" x14ac:dyDescent="0.25">
      <c r="B82" t="s">
        <v>138</v>
      </c>
      <c r="C82" t="s">
        <v>15</v>
      </c>
      <c r="D82">
        <v>30</v>
      </c>
      <c r="E82" t="s">
        <v>16</v>
      </c>
      <c r="F82" s="4">
        <v>44640</v>
      </c>
      <c r="G82" t="s">
        <v>9</v>
      </c>
      <c r="H82">
        <v>67950</v>
      </c>
    </row>
    <row r="83" spans="2:8" x14ac:dyDescent="0.25">
      <c r="B83" t="s">
        <v>137</v>
      </c>
      <c r="C83" t="s">
        <v>8</v>
      </c>
      <c r="D83">
        <v>29</v>
      </c>
      <c r="E83" t="s">
        <v>16</v>
      </c>
      <c r="F83" s="4">
        <v>43962</v>
      </c>
      <c r="G83" t="s">
        <v>12</v>
      </c>
      <c r="H83">
        <v>34980</v>
      </c>
    </row>
    <row r="84" spans="2:8" x14ac:dyDescent="0.25">
      <c r="B84" t="s">
        <v>153</v>
      </c>
      <c r="C84" t="s">
        <v>8</v>
      </c>
      <c r="D84">
        <v>24</v>
      </c>
      <c r="E84" t="s">
        <v>16</v>
      </c>
      <c r="F84" s="4">
        <v>44087</v>
      </c>
      <c r="G84" t="s">
        <v>12</v>
      </c>
      <c r="H84">
        <v>62780</v>
      </c>
    </row>
    <row r="85" spans="2:8" x14ac:dyDescent="0.25">
      <c r="B85" t="s">
        <v>117</v>
      </c>
      <c r="C85" t="s">
        <v>15</v>
      </c>
      <c r="D85">
        <v>20</v>
      </c>
      <c r="E85" t="s">
        <v>16</v>
      </c>
      <c r="F85" s="4">
        <v>44397</v>
      </c>
      <c r="G85" t="s">
        <v>12</v>
      </c>
      <c r="H85">
        <v>107700</v>
      </c>
    </row>
    <row r="86" spans="2:8" x14ac:dyDescent="0.25">
      <c r="B86" t="s">
        <v>168</v>
      </c>
      <c r="C86" t="s">
        <v>15</v>
      </c>
      <c r="D86">
        <v>25</v>
      </c>
      <c r="E86" t="s">
        <v>16</v>
      </c>
      <c r="F86" s="4">
        <v>44322</v>
      </c>
      <c r="G86" t="s">
        <v>19</v>
      </c>
      <c r="H86">
        <v>65700</v>
      </c>
    </row>
    <row r="87" spans="2:8" x14ac:dyDescent="0.25">
      <c r="B87" t="s">
        <v>135</v>
      </c>
      <c r="C87" t="s">
        <v>8</v>
      </c>
      <c r="D87">
        <v>33</v>
      </c>
      <c r="E87" t="s">
        <v>42</v>
      </c>
      <c r="F87" s="4">
        <v>44313</v>
      </c>
      <c r="G87" t="s">
        <v>12</v>
      </c>
      <c r="H87">
        <v>75480</v>
      </c>
    </row>
    <row r="88" spans="2:8" x14ac:dyDescent="0.25">
      <c r="B88" t="s">
        <v>174</v>
      </c>
      <c r="C88" t="s">
        <v>15</v>
      </c>
      <c r="D88">
        <v>33</v>
      </c>
      <c r="E88" t="s">
        <v>16</v>
      </c>
      <c r="F88" s="4">
        <v>44448</v>
      </c>
      <c r="G88" t="s">
        <v>12</v>
      </c>
      <c r="H88">
        <v>53870</v>
      </c>
    </row>
    <row r="89" spans="2:8" x14ac:dyDescent="0.25">
      <c r="B89" t="s">
        <v>141</v>
      </c>
      <c r="C89" t="s">
        <v>8</v>
      </c>
      <c r="D89">
        <v>36</v>
      </c>
      <c r="E89" t="s">
        <v>16</v>
      </c>
      <c r="F89" s="4">
        <v>44433</v>
      </c>
      <c r="G89" t="s">
        <v>19</v>
      </c>
      <c r="H89">
        <v>78540</v>
      </c>
    </row>
    <row r="90" spans="2:8" x14ac:dyDescent="0.25">
      <c r="B90" t="s">
        <v>193</v>
      </c>
      <c r="C90" t="s">
        <v>15</v>
      </c>
      <c r="D90">
        <v>19</v>
      </c>
      <c r="E90" t="s">
        <v>16</v>
      </c>
      <c r="F90" s="4">
        <v>44218</v>
      </c>
      <c r="G90" t="s">
        <v>9</v>
      </c>
      <c r="H90">
        <v>58960</v>
      </c>
    </row>
    <row r="91" spans="2:8" x14ac:dyDescent="0.25">
      <c r="B91" t="s">
        <v>162</v>
      </c>
      <c r="C91" t="s">
        <v>15</v>
      </c>
      <c r="D91">
        <v>46</v>
      </c>
      <c r="E91" t="s">
        <v>16</v>
      </c>
      <c r="F91" s="4">
        <v>44697</v>
      </c>
      <c r="G91" t="s">
        <v>9</v>
      </c>
      <c r="H91">
        <v>70610</v>
      </c>
    </row>
    <row r="92" spans="2:8" x14ac:dyDescent="0.25">
      <c r="B92" t="s">
        <v>171</v>
      </c>
      <c r="C92" t="s">
        <v>15</v>
      </c>
      <c r="D92">
        <v>33</v>
      </c>
      <c r="E92" t="s">
        <v>16</v>
      </c>
      <c r="F92" s="4">
        <v>44181</v>
      </c>
      <c r="G92" t="s">
        <v>21</v>
      </c>
      <c r="H92">
        <v>59430</v>
      </c>
    </row>
    <row r="93" spans="2:8" x14ac:dyDescent="0.25">
      <c r="B93" t="s">
        <v>144</v>
      </c>
      <c r="C93" t="s">
        <v>15</v>
      </c>
      <c r="D93">
        <v>33</v>
      </c>
      <c r="E93" t="s">
        <v>13</v>
      </c>
      <c r="F93" s="4">
        <v>44640</v>
      </c>
      <c r="G93" t="s">
        <v>9</v>
      </c>
      <c r="H93">
        <v>48530</v>
      </c>
    </row>
    <row r="94" spans="2:8" x14ac:dyDescent="0.25">
      <c r="B94" t="s">
        <v>163</v>
      </c>
      <c r="C94" t="s">
        <v>8</v>
      </c>
      <c r="D94">
        <v>33</v>
      </c>
      <c r="E94" t="s">
        <v>16</v>
      </c>
      <c r="F94" s="4">
        <v>44129</v>
      </c>
      <c r="G94" t="s">
        <v>12</v>
      </c>
      <c r="H94">
        <v>96140</v>
      </c>
    </row>
    <row r="95" spans="2:8" x14ac:dyDescent="0.25">
      <c r="B95" t="s">
        <v>156</v>
      </c>
      <c r="C95" t="s">
        <v>15</v>
      </c>
      <c r="D95">
        <v>20</v>
      </c>
      <c r="E95" t="s">
        <v>16</v>
      </c>
      <c r="F95" s="4">
        <v>44122</v>
      </c>
      <c r="G95" t="s">
        <v>12</v>
      </c>
      <c r="H95">
        <v>112650</v>
      </c>
    </row>
    <row r="96" spans="2:8" x14ac:dyDescent="0.25">
      <c r="B96" t="s">
        <v>176</v>
      </c>
      <c r="C96" t="s">
        <v>8</v>
      </c>
      <c r="D96">
        <v>32</v>
      </c>
      <c r="E96" t="s">
        <v>13</v>
      </c>
      <c r="F96" s="4">
        <v>44293</v>
      </c>
      <c r="G96" t="s">
        <v>12</v>
      </c>
      <c r="H96">
        <v>43840</v>
      </c>
    </row>
    <row r="97" spans="2:8" x14ac:dyDescent="0.25">
      <c r="B97" t="s">
        <v>143</v>
      </c>
      <c r="C97" t="s">
        <v>15</v>
      </c>
      <c r="D97">
        <v>31</v>
      </c>
      <c r="E97" t="s">
        <v>16</v>
      </c>
      <c r="F97" s="4">
        <v>44663</v>
      </c>
      <c r="G97" t="s">
        <v>9</v>
      </c>
      <c r="H97">
        <v>103550</v>
      </c>
    </row>
    <row r="98" spans="2:8" x14ac:dyDescent="0.25">
      <c r="B98" t="s">
        <v>201</v>
      </c>
      <c r="C98" t="s">
        <v>8</v>
      </c>
      <c r="D98">
        <v>32</v>
      </c>
      <c r="E98" t="s">
        <v>16</v>
      </c>
      <c r="F98" s="4">
        <v>44339</v>
      </c>
      <c r="G98" t="s">
        <v>56</v>
      </c>
      <c r="H98">
        <v>45510</v>
      </c>
    </row>
    <row r="99" spans="2:8" x14ac:dyDescent="0.25">
      <c r="B99" t="s">
        <v>142</v>
      </c>
      <c r="D99">
        <v>37</v>
      </c>
      <c r="E99" t="s">
        <v>24</v>
      </c>
      <c r="F99" s="4">
        <v>44085</v>
      </c>
      <c r="G99" t="s">
        <v>21</v>
      </c>
      <c r="H99">
        <v>115440</v>
      </c>
    </row>
    <row r="100" spans="2:8" x14ac:dyDescent="0.25">
      <c r="B100" t="s">
        <v>202</v>
      </c>
      <c r="C100" t="s">
        <v>8</v>
      </c>
      <c r="D100">
        <v>38</v>
      </c>
      <c r="E100" t="s">
        <v>13</v>
      </c>
      <c r="F100" s="4">
        <v>44268</v>
      </c>
      <c r="G100" t="s">
        <v>19</v>
      </c>
      <c r="H100">
        <v>56870</v>
      </c>
    </row>
    <row r="101" spans="2:8" x14ac:dyDescent="0.25">
      <c r="B101" t="s">
        <v>169</v>
      </c>
      <c r="C101" t="s">
        <v>8</v>
      </c>
      <c r="D101">
        <v>25</v>
      </c>
      <c r="E101" t="s">
        <v>16</v>
      </c>
      <c r="F101" s="4">
        <v>44144</v>
      </c>
      <c r="G101" t="s">
        <v>19</v>
      </c>
      <c r="H101">
        <v>92700</v>
      </c>
    </row>
    <row r="102" spans="2:8" x14ac:dyDescent="0.25">
      <c r="B102" t="s">
        <v>145</v>
      </c>
      <c r="D102">
        <v>32</v>
      </c>
      <c r="E102" t="s">
        <v>16</v>
      </c>
      <c r="F102" s="4">
        <v>44713</v>
      </c>
      <c r="G102" t="s">
        <v>12</v>
      </c>
      <c r="H102">
        <v>91310</v>
      </c>
    </row>
    <row r="103" spans="2:8" x14ac:dyDescent="0.25">
      <c r="B103" t="s">
        <v>115</v>
      </c>
      <c r="C103" t="s">
        <v>15</v>
      </c>
      <c r="D103">
        <v>33</v>
      </c>
      <c r="E103" t="s">
        <v>16</v>
      </c>
      <c r="F103" s="4">
        <v>44324</v>
      </c>
      <c r="G103" t="s">
        <v>19</v>
      </c>
      <c r="H103">
        <v>74550</v>
      </c>
    </row>
    <row r="104" spans="2:8" x14ac:dyDescent="0.25">
      <c r="B104" t="s">
        <v>128</v>
      </c>
      <c r="C104" t="s">
        <v>15</v>
      </c>
      <c r="D104">
        <v>25</v>
      </c>
      <c r="E104" t="s">
        <v>13</v>
      </c>
      <c r="F104" s="4">
        <v>44665</v>
      </c>
      <c r="G104" t="s">
        <v>9</v>
      </c>
      <c r="H104">
        <v>109190</v>
      </c>
    </row>
    <row r="105" spans="2:8" x14ac:dyDescent="0.25">
      <c r="B105" t="s">
        <v>194</v>
      </c>
      <c r="C105" t="s">
        <v>8</v>
      </c>
      <c r="D105">
        <v>40</v>
      </c>
      <c r="E105" t="s">
        <v>16</v>
      </c>
      <c r="F105" s="4">
        <v>44320</v>
      </c>
      <c r="G105" t="s">
        <v>12</v>
      </c>
      <c r="H105">
        <v>104410</v>
      </c>
    </row>
    <row r="106" spans="2:8" x14ac:dyDescent="0.25">
      <c r="B106" t="s">
        <v>177</v>
      </c>
      <c r="C106" t="s">
        <v>15</v>
      </c>
      <c r="D106">
        <v>30</v>
      </c>
      <c r="E106" t="s">
        <v>16</v>
      </c>
      <c r="F106" s="4">
        <v>44544</v>
      </c>
      <c r="G106" t="s">
        <v>21</v>
      </c>
      <c r="H106">
        <v>96800</v>
      </c>
    </row>
    <row r="107" spans="2:8" x14ac:dyDescent="0.25">
      <c r="B107" t="s">
        <v>123</v>
      </c>
      <c r="C107" t="s">
        <v>15</v>
      </c>
      <c r="D107">
        <v>28</v>
      </c>
      <c r="E107" t="s">
        <v>13</v>
      </c>
      <c r="F107" s="4">
        <v>43980</v>
      </c>
      <c r="G107" t="s">
        <v>21</v>
      </c>
      <c r="H107">
        <v>48170</v>
      </c>
    </row>
    <row r="108" spans="2:8" x14ac:dyDescent="0.25">
      <c r="B108" t="s">
        <v>140</v>
      </c>
      <c r="C108" t="s">
        <v>15</v>
      </c>
      <c r="D108">
        <v>21</v>
      </c>
      <c r="E108" t="s">
        <v>16</v>
      </c>
      <c r="F108" s="4">
        <v>44042</v>
      </c>
      <c r="G108" t="s">
        <v>9</v>
      </c>
      <c r="H108">
        <v>37920</v>
      </c>
    </row>
    <row r="109" spans="2:8" x14ac:dyDescent="0.25">
      <c r="B109" t="s">
        <v>178</v>
      </c>
      <c r="C109" t="s">
        <v>15</v>
      </c>
      <c r="D109">
        <v>34</v>
      </c>
      <c r="E109" t="s">
        <v>16</v>
      </c>
      <c r="F109" s="4">
        <v>44642</v>
      </c>
      <c r="G109" t="s">
        <v>9</v>
      </c>
      <c r="H109">
        <v>112650</v>
      </c>
    </row>
    <row r="110" spans="2:8" x14ac:dyDescent="0.25">
      <c r="B110" t="s">
        <v>165</v>
      </c>
      <c r="C110" t="s">
        <v>8</v>
      </c>
      <c r="D110">
        <v>34</v>
      </c>
      <c r="E110" t="s">
        <v>24</v>
      </c>
      <c r="F110" s="4">
        <v>44660</v>
      </c>
      <c r="G110" t="s">
        <v>19</v>
      </c>
      <c r="H110">
        <v>49630</v>
      </c>
    </row>
    <row r="111" spans="2:8" x14ac:dyDescent="0.25">
      <c r="B111" t="s">
        <v>199</v>
      </c>
      <c r="C111" t="s">
        <v>15</v>
      </c>
      <c r="D111">
        <v>36</v>
      </c>
      <c r="E111" t="s">
        <v>16</v>
      </c>
      <c r="F111" s="4">
        <v>43958</v>
      </c>
      <c r="G111" t="s">
        <v>12</v>
      </c>
      <c r="H111">
        <v>118840</v>
      </c>
    </row>
    <row r="112" spans="2:8" x14ac:dyDescent="0.25">
      <c r="B112" t="s">
        <v>159</v>
      </c>
      <c r="C112" t="s">
        <v>15</v>
      </c>
      <c r="D112">
        <v>30</v>
      </c>
      <c r="E112" t="s">
        <v>16</v>
      </c>
      <c r="F112" s="4">
        <v>44789</v>
      </c>
      <c r="G112" t="s">
        <v>12</v>
      </c>
      <c r="H112">
        <v>69710</v>
      </c>
    </row>
    <row r="113" spans="2:8" x14ac:dyDescent="0.25">
      <c r="B113" t="s">
        <v>197</v>
      </c>
      <c r="C113" t="s">
        <v>15</v>
      </c>
      <c r="D113">
        <v>20</v>
      </c>
      <c r="E113" t="s">
        <v>16</v>
      </c>
      <c r="F113" s="4">
        <v>44683</v>
      </c>
      <c r="G113" t="s">
        <v>9</v>
      </c>
      <c r="H113">
        <v>79570</v>
      </c>
    </row>
    <row r="114" spans="2:8" x14ac:dyDescent="0.2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F9C58-F509-44B8-BC48-C0E9CB2A3EC6}">
  <sheetPr>
    <tabColor theme="9"/>
  </sheetPr>
  <dimension ref="A1:R184"/>
  <sheetViews>
    <sheetView topLeftCell="E1" workbookViewId="0">
      <selection activeCell="R28" sqref="R28"/>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2.28515625" style="11" bestFit="1" customWidth="1"/>
    <col min="8" max="8" width="10.28515625" bestFit="1" customWidth="1"/>
    <col min="9" max="9" width="13" style="14" customWidth="1"/>
    <col min="10" max="10" width="10.28515625" bestFit="1" customWidth="1"/>
    <col min="11" max="11" width="16.42578125" customWidth="1"/>
    <col min="12" max="12" width="13" customWidth="1"/>
    <col min="13" max="13" width="12.5703125" customWidth="1"/>
    <col min="14" max="14" width="16.5703125" bestFit="1" customWidth="1"/>
    <col min="15" max="15" width="15" customWidth="1"/>
    <col min="16" max="16" width="12.7109375" customWidth="1"/>
    <col min="17" max="17" width="11.28515625" customWidth="1"/>
  </cols>
  <sheetData>
    <row r="1" spans="1:16" x14ac:dyDescent="0.25">
      <c r="A1" t="s">
        <v>0</v>
      </c>
      <c r="B1" t="s">
        <v>1</v>
      </c>
      <c r="C1" t="s">
        <v>3</v>
      </c>
      <c r="D1" t="s">
        <v>6</v>
      </c>
      <c r="E1" t="s">
        <v>4</v>
      </c>
      <c r="F1" t="s">
        <v>2</v>
      </c>
      <c r="G1" s="11" t="s">
        <v>5</v>
      </c>
      <c r="H1" t="s">
        <v>205</v>
      </c>
      <c r="I1" s="14" t="s">
        <v>213</v>
      </c>
      <c r="J1" t="s">
        <v>226</v>
      </c>
      <c r="K1" t="s">
        <v>232</v>
      </c>
    </row>
    <row r="2" spans="1:16" x14ac:dyDescent="0.25">
      <c r="A2" s="10" t="s">
        <v>179</v>
      </c>
      <c r="B2" s="10" t="s">
        <v>8</v>
      </c>
      <c r="C2" s="10">
        <v>21</v>
      </c>
      <c r="D2" s="10" t="s">
        <v>16</v>
      </c>
      <c r="E2" s="12">
        <v>44619</v>
      </c>
      <c r="F2" s="10" t="s">
        <v>12</v>
      </c>
      <c r="G2" s="11">
        <v>33920</v>
      </c>
      <c r="H2" s="10" t="s">
        <v>207</v>
      </c>
      <c r="I2" s="14">
        <f ca="1">(TODAY()-staff[[#This Row],[Date Joined]])/365</f>
        <v>3.6657534246575341</v>
      </c>
      <c r="J2" s="11">
        <f ca="1">IF(staff[[#This Row],[Tenure]]&gt;2,0.03,0.02)*staff[[#This Row],[Salary]]</f>
        <v>1017.5999999999999</v>
      </c>
      <c r="K2">
        <f>_xlfn.XLOOKUP(staff[[#This Row],[Rating]],$N$30:$N$34,$O$30:$O$34)</f>
        <v>3</v>
      </c>
      <c r="N2" t="s">
        <v>228</v>
      </c>
      <c r="O2" t="s">
        <v>16</v>
      </c>
      <c r="P2" t="s">
        <v>227</v>
      </c>
    </row>
    <row r="3" spans="1:16" x14ac:dyDescent="0.25">
      <c r="A3" s="10" t="s">
        <v>86</v>
      </c>
      <c r="B3" s="10" t="s">
        <v>8</v>
      </c>
      <c r="C3" s="10">
        <v>21</v>
      </c>
      <c r="D3" s="10" t="s">
        <v>16</v>
      </c>
      <c r="E3" s="12">
        <v>44678</v>
      </c>
      <c r="F3" s="10" t="s">
        <v>12</v>
      </c>
      <c r="G3" s="11">
        <v>33920</v>
      </c>
      <c r="H3" s="10" t="s">
        <v>206</v>
      </c>
      <c r="I3" s="14">
        <f ca="1">(TODAY()-staff[[#This Row],[Date Joined]])/365</f>
        <v>3.504109589041096</v>
      </c>
      <c r="J3" s="11">
        <f ca="1">IF(staff[[#This Row],[Tenure]]&gt;2,0.03,0.02)*staff[[#This Row],[Salary]]</f>
        <v>1017.5999999999999</v>
      </c>
      <c r="K3">
        <f>_xlfn.XLOOKUP(staff[[#This Row],[Rating]],$N$30:$N$34,$O$30:$O$34)</f>
        <v>3</v>
      </c>
      <c r="N3" t="s">
        <v>209</v>
      </c>
      <c r="O3">
        <f>COUNTA(staff[Name])</f>
        <v>183</v>
      </c>
    </row>
    <row r="4" spans="1:16" x14ac:dyDescent="0.25">
      <c r="A4" s="10" t="s">
        <v>137</v>
      </c>
      <c r="B4" s="10" t="s">
        <v>8</v>
      </c>
      <c r="C4" s="10">
        <v>29</v>
      </c>
      <c r="D4" s="10" t="s">
        <v>16</v>
      </c>
      <c r="E4" s="12">
        <v>43962</v>
      </c>
      <c r="F4" s="10" t="s">
        <v>12</v>
      </c>
      <c r="G4" s="11">
        <v>34980</v>
      </c>
      <c r="H4" s="10" t="s">
        <v>207</v>
      </c>
      <c r="I4" s="14">
        <f ca="1">(TODAY()-staff[[#This Row],[Date Joined]])/365</f>
        <v>5.4657534246575343</v>
      </c>
      <c r="J4" s="11">
        <f ca="1">IF(staff[[#This Row],[Tenure]]&gt;2,0.03,0.02)*staff[[#This Row],[Salary]]</f>
        <v>1049.3999999999999</v>
      </c>
      <c r="K4">
        <f>_xlfn.XLOOKUP(staff[[#This Row],[Rating]],$N$30:$N$34,$O$30:$O$34)</f>
        <v>3</v>
      </c>
      <c r="N4" t="s">
        <v>210</v>
      </c>
      <c r="O4" s="11">
        <f>AVERAGE(staff[Salary])</f>
        <v>77173.715846994543</v>
      </c>
      <c r="P4" s="11">
        <f>MEDIAN(staff[Salary])</f>
        <v>75000</v>
      </c>
    </row>
    <row r="5" spans="1:16" x14ac:dyDescent="0.25">
      <c r="A5" s="10" t="s">
        <v>44</v>
      </c>
      <c r="B5" s="10" t="s">
        <v>8</v>
      </c>
      <c r="C5" s="10">
        <v>29</v>
      </c>
      <c r="D5" s="10" t="s">
        <v>16</v>
      </c>
      <c r="E5" s="12">
        <v>44023</v>
      </c>
      <c r="F5" s="10" t="s">
        <v>12</v>
      </c>
      <c r="G5" s="11">
        <v>34980</v>
      </c>
      <c r="H5" s="10" t="s">
        <v>206</v>
      </c>
      <c r="I5" s="14">
        <f ca="1">(TODAY()-staff[[#This Row],[Date Joined]])/365</f>
        <v>5.2986301369863016</v>
      </c>
      <c r="J5" s="11">
        <f ca="1">IF(staff[[#This Row],[Tenure]]&gt;2,0.03,0.02)*staff[[#This Row],[Salary]]</f>
        <v>1049.3999999999999</v>
      </c>
      <c r="K5">
        <f>_xlfn.XLOOKUP(staff[[#This Row],[Rating]],$N$30:$N$34,$O$30:$O$34)</f>
        <v>3</v>
      </c>
      <c r="N5" t="s">
        <v>211</v>
      </c>
      <c r="O5" s="13">
        <f>AVERAGE(staff[Age])</f>
        <v>30.42622950819672</v>
      </c>
      <c r="P5">
        <f>MEDIAN(C:C)</f>
        <v>30</v>
      </c>
    </row>
    <row r="6" spans="1:16" x14ac:dyDescent="0.25">
      <c r="A6" s="10" t="s">
        <v>192</v>
      </c>
      <c r="B6" s="10" t="s">
        <v>15</v>
      </c>
      <c r="C6" s="10">
        <v>43</v>
      </c>
      <c r="D6" s="10" t="s">
        <v>16</v>
      </c>
      <c r="E6" s="12">
        <v>44558</v>
      </c>
      <c r="F6" s="10" t="s">
        <v>19</v>
      </c>
      <c r="G6" s="11">
        <v>36040</v>
      </c>
      <c r="H6" s="10" t="s">
        <v>207</v>
      </c>
      <c r="I6" s="14">
        <f ca="1">(TODAY()-staff[[#This Row],[Date Joined]])/365</f>
        <v>3.8328767123287673</v>
      </c>
      <c r="J6" s="11">
        <f ca="1">IF(staff[[#This Row],[Tenure]]&gt;2,0.03,0.02)*staff[[#This Row],[Salary]]</f>
        <v>1081.2</v>
      </c>
      <c r="K6">
        <f>_xlfn.XLOOKUP(staff[[#This Row],[Rating]],$N$30:$N$34,$O$30:$O$34)</f>
        <v>3</v>
      </c>
      <c r="N6" t="s">
        <v>212</v>
      </c>
      <c r="O6" s="13">
        <f ca="1">AVERAGE(staff[Tenure])</f>
        <v>4.1752526386705613</v>
      </c>
      <c r="P6" s="13">
        <f ca="1">MEDIAN(staff[Tenure])</f>
        <v>4.1972602739726028</v>
      </c>
    </row>
    <row r="7" spans="1:16" x14ac:dyDescent="0.25">
      <c r="A7" s="10" t="s">
        <v>99</v>
      </c>
      <c r="B7" s="10" t="s">
        <v>15</v>
      </c>
      <c r="C7" s="10">
        <v>43</v>
      </c>
      <c r="D7" s="10" t="s">
        <v>16</v>
      </c>
      <c r="E7" s="12">
        <v>44620</v>
      </c>
      <c r="F7" s="10" t="s">
        <v>19</v>
      </c>
      <c r="G7" s="11">
        <v>36040</v>
      </c>
      <c r="H7" s="10" t="s">
        <v>206</v>
      </c>
      <c r="I7" s="14">
        <f ca="1">(TODAY()-staff[[#This Row],[Date Joined]])/365</f>
        <v>3.6630136986301371</v>
      </c>
      <c r="J7" s="11">
        <f ca="1">IF(staff[[#This Row],[Tenure]]&gt;2,0.03,0.02)*staff[[#This Row],[Salary]]</f>
        <v>1081.2</v>
      </c>
      <c r="K7">
        <f>_xlfn.XLOOKUP(staff[[#This Row],[Rating]],$N$30:$N$34,$O$30:$O$34)</f>
        <v>3</v>
      </c>
      <c r="N7" t="s">
        <v>214</v>
      </c>
      <c r="O7">
        <f>COUNTIFS(staff[Gender],"Female")</f>
        <v>86</v>
      </c>
      <c r="P7">
        <f>MEDIAN(O7)</f>
        <v>86</v>
      </c>
    </row>
    <row r="8" spans="1:16" x14ac:dyDescent="0.25">
      <c r="A8" s="10" t="s">
        <v>140</v>
      </c>
      <c r="B8" s="10" t="s">
        <v>15</v>
      </c>
      <c r="C8" s="10">
        <v>21</v>
      </c>
      <c r="D8" s="10" t="s">
        <v>16</v>
      </c>
      <c r="E8" s="12">
        <v>44042</v>
      </c>
      <c r="F8" s="10" t="s">
        <v>9</v>
      </c>
      <c r="G8" s="11">
        <v>37920</v>
      </c>
      <c r="H8" s="10" t="s">
        <v>207</v>
      </c>
      <c r="I8" s="14">
        <f ca="1">(TODAY()-staff[[#This Row],[Date Joined]])/365</f>
        <v>5.2465753424657535</v>
      </c>
      <c r="J8" s="11">
        <f ca="1">IF(staff[[#This Row],[Tenure]]&gt;2,0.03,0.02)*staff[[#This Row],[Salary]]</f>
        <v>1137.5999999999999</v>
      </c>
      <c r="K8">
        <f>_xlfn.XLOOKUP(staff[[#This Row],[Rating]],$N$30:$N$34,$O$30:$O$34)</f>
        <v>3</v>
      </c>
      <c r="N8" t="s">
        <v>215</v>
      </c>
      <c r="O8" s="15">
        <f>O7/O3</f>
        <v>0.46994535519125685</v>
      </c>
      <c r="P8" s="15">
        <f>MEDIAN(O8)</f>
        <v>0.46994535519125685</v>
      </c>
    </row>
    <row r="9" spans="1:16" x14ac:dyDescent="0.25">
      <c r="A9" s="10" t="s">
        <v>47</v>
      </c>
      <c r="B9" s="10" t="s">
        <v>15</v>
      </c>
      <c r="C9" s="10">
        <v>21</v>
      </c>
      <c r="D9" s="10" t="s">
        <v>16</v>
      </c>
      <c r="E9" s="12">
        <v>44104</v>
      </c>
      <c r="F9" s="10" t="s">
        <v>9</v>
      </c>
      <c r="G9" s="11">
        <v>37920</v>
      </c>
      <c r="H9" s="10" t="s">
        <v>206</v>
      </c>
      <c r="I9" s="14">
        <f ca="1">(TODAY()-staff[[#This Row],[Date Joined]])/365</f>
        <v>5.0767123287671234</v>
      </c>
      <c r="J9" s="11">
        <f ca="1">IF(staff[[#This Row],[Tenure]]&gt;2,0.03,0.02)*staff[[#This Row],[Salary]]</f>
        <v>1137.5999999999999</v>
      </c>
      <c r="K9">
        <f>_xlfn.XLOOKUP(staff[[#This Row],[Rating]],$N$30:$N$34,$O$30:$O$34)</f>
        <v>3</v>
      </c>
    </row>
    <row r="10" spans="1:16" x14ac:dyDescent="0.25">
      <c r="A10" s="10" t="s">
        <v>149</v>
      </c>
      <c r="B10" s="10" t="s">
        <v>15</v>
      </c>
      <c r="C10" s="10">
        <v>35</v>
      </c>
      <c r="D10" s="10" t="s">
        <v>16</v>
      </c>
      <c r="E10" s="12">
        <v>44666</v>
      </c>
      <c r="F10" s="10" t="s">
        <v>9</v>
      </c>
      <c r="G10" s="11">
        <v>40400</v>
      </c>
      <c r="H10" s="10" t="s">
        <v>207</v>
      </c>
      <c r="I10" s="14">
        <f ca="1">(TODAY()-staff[[#This Row],[Date Joined]])/365</f>
        <v>3.536986301369863</v>
      </c>
      <c r="J10" s="11">
        <f ca="1">IF(staff[[#This Row],[Tenure]]&gt;2,0.03,0.02)*staff[[#This Row],[Salary]]</f>
        <v>1212</v>
      </c>
      <c r="K10">
        <f>_xlfn.XLOOKUP(staff[[#This Row],[Rating]],$N$30:$N$34,$O$30:$O$34)</f>
        <v>3</v>
      </c>
    </row>
    <row r="11" spans="1:16" x14ac:dyDescent="0.25">
      <c r="A11" s="10" t="s">
        <v>57</v>
      </c>
      <c r="B11" s="10" t="s">
        <v>15</v>
      </c>
      <c r="C11" s="10">
        <v>35</v>
      </c>
      <c r="D11" s="10" t="s">
        <v>16</v>
      </c>
      <c r="E11" s="12">
        <v>44727</v>
      </c>
      <c r="F11" s="10" t="s">
        <v>9</v>
      </c>
      <c r="G11" s="11">
        <v>40400</v>
      </c>
      <c r="H11" s="10" t="s">
        <v>206</v>
      </c>
      <c r="I11" s="14">
        <f ca="1">(TODAY()-staff[[#This Row],[Date Joined]])/365</f>
        <v>3.3698630136986303</v>
      </c>
      <c r="J11" s="11">
        <f ca="1">IF(staff[[#This Row],[Tenure]]&gt;2,0.03,0.02)*staff[[#This Row],[Salary]]</f>
        <v>1212</v>
      </c>
      <c r="K11">
        <f>_xlfn.XLOOKUP(staff[[#This Row],[Rating]],$N$30:$N$34,$O$30:$O$34)</f>
        <v>3</v>
      </c>
      <c r="O11" s="10"/>
    </row>
    <row r="12" spans="1:16" x14ac:dyDescent="0.25">
      <c r="A12" s="10" t="s">
        <v>158</v>
      </c>
      <c r="B12" s="10" t="s">
        <v>8</v>
      </c>
      <c r="C12" s="10">
        <v>32</v>
      </c>
      <c r="D12" s="10" t="s">
        <v>16</v>
      </c>
      <c r="E12" s="12">
        <v>44549</v>
      </c>
      <c r="F12" s="10" t="s">
        <v>9</v>
      </c>
      <c r="G12" s="11">
        <v>41570</v>
      </c>
      <c r="H12" s="10" t="s">
        <v>207</v>
      </c>
      <c r="I12" s="14">
        <f ca="1">(TODAY()-staff[[#This Row],[Date Joined]])/365</f>
        <v>3.8575342465753426</v>
      </c>
      <c r="J12" s="11">
        <f ca="1">IF(staff[[#This Row],[Tenure]]&gt;2,0.03,0.02)*staff[[#This Row],[Salary]]</f>
        <v>1247.0999999999999</v>
      </c>
      <c r="K12">
        <f>_xlfn.XLOOKUP(staff[[#This Row],[Rating]],$N$30:$N$34,$O$30:$O$34)</f>
        <v>3</v>
      </c>
      <c r="O12" s="15"/>
    </row>
    <row r="13" spans="1:16" x14ac:dyDescent="0.25">
      <c r="A13" s="10" t="s">
        <v>66</v>
      </c>
      <c r="B13" s="10" t="s">
        <v>8</v>
      </c>
      <c r="C13" s="10">
        <v>32</v>
      </c>
      <c r="D13" s="10" t="s">
        <v>16</v>
      </c>
      <c r="E13" s="12">
        <v>44611</v>
      </c>
      <c r="F13" s="10" t="s">
        <v>9</v>
      </c>
      <c r="G13" s="11">
        <v>41570</v>
      </c>
      <c r="H13" s="10" t="s">
        <v>206</v>
      </c>
      <c r="I13" s="14">
        <f ca="1">(TODAY()-staff[[#This Row],[Date Joined]])/365</f>
        <v>3.6876712328767125</v>
      </c>
      <c r="J13" s="11">
        <f ca="1">IF(staff[[#This Row],[Tenure]]&gt;2,0.03,0.02)*staff[[#This Row],[Salary]]</f>
        <v>1247.0999999999999</v>
      </c>
      <c r="K13">
        <f>_xlfn.XLOOKUP(staff[[#This Row],[Rating]],$N$30:$N$34,$O$30:$O$34)</f>
        <v>3</v>
      </c>
    </row>
    <row r="14" spans="1:16" x14ac:dyDescent="0.25">
      <c r="A14" s="10" t="s">
        <v>124</v>
      </c>
      <c r="B14" s="10" t="s">
        <v>8</v>
      </c>
      <c r="C14" s="10">
        <v>31</v>
      </c>
      <c r="D14" s="10" t="s">
        <v>16</v>
      </c>
      <c r="E14" s="12">
        <v>44084</v>
      </c>
      <c r="F14" s="10" t="s">
        <v>12</v>
      </c>
      <c r="G14" s="11">
        <v>41980</v>
      </c>
      <c r="H14" s="10" t="s">
        <v>207</v>
      </c>
      <c r="I14" s="14">
        <f ca="1">(TODAY()-staff[[#This Row],[Date Joined]])/365</f>
        <v>5.1315068493150688</v>
      </c>
      <c r="J14" s="11">
        <f ca="1">IF(staff[[#This Row],[Tenure]]&gt;2,0.03,0.02)*staff[[#This Row],[Salary]]</f>
        <v>1259.3999999999999</v>
      </c>
      <c r="K14">
        <f>_xlfn.XLOOKUP(staff[[#This Row],[Rating]],$N$30:$N$34,$O$30:$O$34)</f>
        <v>3</v>
      </c>
    </row>
    <row r="15" spans="1:16" x14ac:dyDescent="0.25">
      <c r="A15" s="10" t="s">
        <v>30</v>
      </c>
      <c r="B15" s="10" t="s">
        <v>8</v>
      </c>
      <c r="C15" s="10">
        <v>31</v>
      </c>
      <c r="D15" s="10" t="s">
        <v>16</v>
      </c>
      <c r="E15" s="12">
        <v>44145</v>
      </c>
      <c r="F15" s="10" t="s">
        <v>12</v>
      </c>
      <c r="G15" s="11">
        <v>41980</v>
      </c>
      <c r="H15" s="10" t="s">
        <v>206</v>
      </c>
      <c r="I15" s="14">
        <f ca="1">(TODAY()-staff[[#This Row],[Date Joined]])/365</f>
        <v>4.9643835616438352</v>
      </c>
      <c r="J15" s="11">
        <f ca="1">IF(staff[[#This Row],[Tenure]]&gt;2,0.03,0.02)*staff[[#This Row],[Salary]]</f>
        <v>1259.3999999999999</v>
      </c>
      <c r="K15">
        <f>_xlfn.XLOOKUP(staff[[#This Row],[Rating]],$N$30:$N$34,$O$30:$O$34)</f>
        <v>3</v>
      </c>
    </row>
    <row r="16" spans="1:16" x14ac:dyDescent="0.25">
      <c r="A16" s="10" t="s">
        <v>172</v>
      </c>
      <c r="B16" s="10" t="s">
        <v>15</v>
      </c>
      <c r="C16" s="10">
        <v>28</v>
      </c>
      <c r="D16" s="10" t="s">
        <v>42</v>
      </c>
      <c r="E16" s="12">
        <v>44758</v>
      </c>
      <c r="F16" s="10" t="s">
        <v>19</v>
      </c>
      <c r="G16" s="11">
        <v>43510</v>
      </c>
      <c r="H16" s="10" t="s">
        <v>207</v>
      </c>
      <c r="I16" s="14">
        <f ca="1">(TODAY()-staff[[#This Row],[Date Joined]])/365</f>
        <v>3.2849315068493152</v>
      </c>
      <c r="J16" s="11">
        <f ca="1">IF(staff[[#This Row],[Tenure]]&gt;2,0.03,0.02)*staff[[#This Row],[Salary]]</f>
        <v>1305.3</v>
      </c>
      <c r="K16">
        <f>_xlfn.XLOOKUP(staff[[#This Row],[Rating]],$N$30:$N$34,$O$30:$O$34)</f>
        <v>1</v>
      </c>
      <c r="N16" s="17"/>
      <c r="O16" s="17"/>
    </row>
    <row r="17" spans="1:18" x14ac:dyDescent="0.25">
      <c r="A17" s="10" t="s">
        <v>80</v>
      </c>
      <c r="B17" s="10" t="s">
        <v>15</v>
      </c>
      <c r="C17" s="10">
        <v>28</v>
      </c>
      <c r="D17" s="10" t="s">
        <v>42</v>
      </c>
      <c r="E17" s="12">
        <v>44820</v>
      </c>
      <c r="F17" s="10" t="s">
        <v>19</v>
      </c>
      <c r="G17" s="11">
        <v>43510</v>
      </c>
      <c r="H17" s="10" t="s">
        <v>206</v>
      </c>
      <c r="I17" s="14">
        <f ca="1">(TODAY()-staff[[#This Row],[Date Joined]])/365</f>
        <v>3.1150684931506851</v>
      </c>
      <c r="J17" s="11">
        <f ca="1">IF(staff[[#This Row],[Tenure]]&gt;2,0.03,0.02)*staff[[#This Row],[Salary]]</f>
        <v>1305.3</v>
      </c>
      <c r="K17" s="34">
        <f>_xlfn.XLOOKUP(staff[[#This Row],[Rating]],$N$30:$N$34,$O$30:$O$34)</f>
        <v>1</v>
      </c>
      <c r="N17" s="12"/>
      <c r="P17" s="11"/>
      <c r="R17" s="16"/>
    </row>
    <row r="18" spans="1:18" x14ac:dyDescent="0.25">
      <c r="A18" s="10" t="s">
        <v>176</v>
      </c>
      <c r="B18" s="10" t="s">
        <v>8</v>
      </c>
      <c r="C18" s="10">
        <v>32</v>
      </c>
      <c r="D18" s="10" t="s">
        <v>13</v>
      </c>
      <c r="E18" s="12">
        <v>44293</v>
      </c>
      <c r="F18" s="10" t="s">
        <v>12</v>
      </c>
      <c r="G18" s="11">
        <v>43840</v>
      </c>
      <c r="H18" s="10" t="s">
        <v>207</v>
      </c>
      <c r="I18" s="14">
        <f ca="1">(TODAY()-staff[[#This Row],[Date Joined]])/365</f>
        <v>4.558904109589041</v>
      </c>
      <c r="J18" s="11">
        <f ca="1">IF(staff[[#This Row],[Tenure]]&gt;2,0.03,0.02)*staff[[#This Row],[Salary]]</f>
        <v>1315.2</v>
      </c>
      <c r="K18" s="34">
        <f>_xlfn.XLOOKUP(staff[[#This Row],[Rating]],$N$30:$N$34,$O$30:$O$34)</f>
        <v>4</v>
      </c>
      <c r="N18" s="29" t="s">
        <v>203</v>
      </c>
      <c r="O18" s="31" t="s">
        <v>229</v>
      </c>
    </row>
    <row r="19" spans="1:18" x14ac:dyDescent="0.25">
      <c r="A19" s="10" t="s">
        <v>84</v>
      </c>
      <c r="B19" s="10" t="s">
        <v>8</v>
      </c>
      <c r="C19" s="10">
        <v>32</v>
      </c>
      <c r="D19" s="10" t="s">
        <v>13</v>
      </c>
      <c r="E19" s="12">
        <v>44354</v>
      </c>
      <c r="F19" s="10" t="s">
        <v>12</v>
      </c>
      <c r="G19" s="11">
        <v>43840</v>
      </c>
      <c r="H19" s="10" t="s">
        <v>206</v>
      </c>
      <c r="I19" s="14">
        <f ca="1">(TODAY()-staff[[#This Row],[Date Joined]])/365</f>
        <v>4.3917808219178083</v>
      </c>
      <c r="J19" s="11">
        <f ca="1">IF(staff[[#This Row],[Tenure]]&gt;2,0.03,0.02)*staff[[#This Row],[Salary]]</f>
        <v>1315.2</v>
      </c>
      <c r="K19">
        <f>_xlfn.XLOOKUP(staff[[#This Row],[Rating]],$N$30:$N$34,$O$30:$O$34)</f>
        <v>4</v>
      </c>
      <c r="N19" s="29" t="s">
        <v>1</v>
      </c>
      <c r="O19" s="18" t="str" cm="1">
        <f t="array" aca="1" ref="O19:O26" ca="1">TRANSPOSE(_xlfn.XLOOKUP(O18,staff[Name],staff[[Gender]:[Tenure]]))</f>
        <v>Female</v>
      </c>
    </row>
    <row r="20" spans="1:18" x14ac:dyDescent="0.25">
      <c r="A20" s="10" t="s">
        <v>201</v>
      </c>
      <c r="B20" s="10" t="s">
        <v>8</v>
      </c>
      <c r="C20" s="10">
        <v>32</v>
      </c>
      <c r="D20" s="10" t="s">
        <v>16</v>
      </c>
      <c r="E20" s="12">
        <v>44339</v>
      </c>
      <c r="F20" s="10" t="s">
        <v>56</v>
      </c>
      <c r="G20" s="11">
        <v>45510</v>
      </c>
      <c r="H20" s="10" t="s">
        <v>207</v>
      </c>
      <c r="I20" s="14">
        <f ca="1">(TODAY()-staff[[#This Row],[Date Joined]])/365</f>
        <v>4.4328767123287669</v>
      </c>
      <c r="J20" s="11">
        <f ca="1">IF(staff[[#This Row],[Tenure]]&gt;2,0.03,0.02)*staff[[#This Row],[Salary]]</f>
        <v>1365.3</v>
      </c>
      <c r="K20">
        <f>_xlfn.XLOOKUP(staff[[#This Row],[Rating]],$N$30:$N$34,$O$30:$O$34)</f>
        <v>3</v>
      </c>
      <c r="N20" s="29" t="s">
        <v>3</v>
      </c>
      <c r="O20" s="18">
        <f ca="1"/>
        <v>42</v>
      </c>
    </row>
    <row r="21" spans="1:18" x14ac:dyDescent="0.25">
      <c r="A21" s="10" t="s">
        <v>108</v>
      </c>
      <c r="B21" s="10" t="s">
        <v>8</v>
      </c>
      <c r="C21" s="10">
        <v>32</v>
      </c>
      <c r="D21" s="10" t="s">
        <v>16</v>
      </c>
      <c r="E21" s="12">
        <v>44400</v>
      </c>
      <c r="F21" s="10" t="s">
        <v>56</v>
      </c>
      <c r="G21" s="11">
        <v>45510</v>
      </c>
      <c r="H21" s="10" t="s">
        <v>206</v>
      </c>
      <c r="I21" s="14">
        <f ca="1">(TODAY()-staff[[#This Row],[Date Joined]])/365</f>
        <v>4.2657534246575342</v>
      </c>
      <c r="J21" s="11">
        <f ca="1">IF(staff[[#This Row],[Tenure]]&gt;2,0.03,0.02)*staff[[#This Row],[Salary]]</f>
        <v>1365.3</v>
      </c>
      <c r="K21">
        <f>_xlfn.XLOOKUP(staff[[#This Row],[Rating]],$N$30:$N$34,$O$30:$O$34)</f>
        <v>3</v>
      </c>
      <c r="N21" s="29" t="s">
        <v>6</v>
      </c>
      <c r="O21" s="18" t="str">
        <f ca="1"/>
        <v>Exceptional</v>
      </c>
    </row>
    <row r="22" spans="1:18" x14ac:dyDescent="0.25">
      <c r="A22" s="10" t="s">
        <v>151</v>
      </c>
      <c r="B22" s="10" t="s">
        <v>15</v>
      </c>
      <c r="C22" s="10">
        <v>26</v>
      </c>
      <c r="D22" s="10" t="s">
        <v>16</v>
      </c>
      <c r="E22" s="12">
        <v>44164</v>
      </c>
      <c r="F22" s="10" t="s">
        <v>9</v>
      </c>
      <c r="G22" s="11">
        <v>47360</v>
      </c>
      <c r="H22" s="10" t="s">
        <v>207</v>
      </c>
      <c r="I22" s="14">
        <f ca="1">(TODAY()-staff[[#This Row],[Date Joined]])/365</f>
        <v>4.912328767123288</v>
      </c>
      <c r="J22" s="11">
        <f ca="1">IF(staff[[#This Row],[Tenure]]&gt;2,0.03,0.02)*staff[[#This Row],[Salary]]</f>
        <v>1420.8</v>
      </c>
      <c r="K22">
        <f>_xlfn.XLOOKUP(staff[[#This Row],[Rating]],$N$30:$N$34,$O$30:$O$34)</f>
        <v>3</v>
      </c>
      <c r="N22" s="29" t="s">
        <v>216</v>
      </c>
      <c r="O22" s="19">
        <f ca="1"/>
        <v>44718</v>
      </c>
    </row>
    <row r="23" spans="1:18" x14ac:dyDescent="0.25">
      <c r="A23" s="10" t="s">
        <v>59</v>
      </c>
      <c r="B23" s="10" t="s">
        <v>15</v>
      </c>
      <c r="C23" s="10">
        <v>26</v>
      </c>
      <c r="D23" s="10" t="s">
        <v>16</v>
      </c>
      <c r="E23" s="12">
        <v>44225</v>
      </c>
      <c r="F23" s="10" t="s">
        <v>9</v>
      </c>
      <c r="G23" s="11">
        <v>47360</v>
      </c>
      <c r="H23" s="10" t="s">
        <v>206</v>
      </c>
      <c r="I23" s="14">
        <f ca="1">(TODAY()-staff[[#This Row],[Date Joined]])/365</f>
        <v>4.7452054794520544</v>
      </c>
      <c r="J23" s="11">
        <f ca="1">IF(staff[[#This Row],[Tenure]]&gt;2,0.03,0.02)*staff[[#This Row],[Salary]]</f>
        <v>1420.8</v>
      </c>
      <c r="K23">
        <f>_xlfn.XLOOKUP(staff[[#This Row],[Rating]],$N$30:$N$34,$O$30:$O$34)</f>
        <v>3</v>
      </c>
      <c r="N23" s="29" t="s">
        <v>217</v>
      </c>
      <c r="O23" s="18" t="str">
        <f ca="1"/>
        <v>Procurement</v>
      </c>
    </row>
    <row r="24" spans="1:18" x14ac:dyDescent="0.25">
      <c r="A24" s="10" t="s">
        <v>123</v>
      </c>
      <c r="B24" s="10" t="s">
        <v>15</v>
      </c>
      <c r="C24" s="10">
        <v>28</v>
      </c>
      <c r="D24" s="10" t="s">
        <v>13</v>
      </c>
      <c r="E24" s="12">
        <v>43980</v>
      </c>
      <c r="F24" s="10" t="s">
        <v>21</v>
      </c>
      <c r="G24" s="11">
        <v>48170</v>
      </c>
      <c r="H24" s="10" t="s">
        <v>207</v>
      </c>
      <c r="I24" s="14">
        <f ca="1">(TODAY()-staff[[#This Row],[Date Joined]])/365</f>
        <v>5.4164383561643836</v>
      </c>
      <c r="J24" s="11">
        <f ca="1">IF(staff[[#This Row],[Tenure]]&gt;2,0.03,0.02)*staff[[#This Row],[Salary]]</f>
        <v>1445.1</v>
      </c>
      <c r="K24">
        <f>_xlfn.XLOOKUP(staff[[#This Row],[Rating]],$N$30:$N$34,$O$30:$O$34)</f>
        <v>4</v>
      </c>
      <c r="N24" s="29" t="s">
        <v>5</v>
      </c>
      <c r="O24" s="20">
        <f ca="1"/>
        <v>75000</v>
      </c>
    </row>
    <row r="25" spans="1:18" x14ac:dyDescent="0.25">
      <c r="A25" s="10" t="s">
        <v>29</v>
      </c>
      <c r="B25" s="10" t="s">
        <v>15</v>
      </c>
      <c r="C25" s="10">
        <v>28</v>
      </c>
      <c r="D25" s="10" t="s">
        <v>13</v>
      </c>
      <c r="E25" s="12">
        <v>44041</v>
      </c>
      <c r="F25" s="10" t="s">
        <v>21</v>
      </c>
      <c r="G25" s="11">
        <v>48170</v>
      </c>
      <c r="H25" s="10" t="s">
        <v>206</v>
      </c>
      <c r="I25" s="14">
        <f ca="1">(TODAY()-staff[[#This Row],[Date Joined]])/365</f>
        <v>5.2493150684931509</v>
      </c>
      <c r="J25" s="11">
        <f ca="1">IF(staff[[#This Row],[Tenure]]&gt;2,0.03,0.02)*staff[[#This Row],[Salary]]</f>
        <v>1445.1</v>
      </c>
      <c r="K25">
        <f>_xlfn.XLOOKUP(staff[[#This Row],[Rating]],$N$30:$N$34,$O$30:$O$34)</f>
        <v>4</v>
      </c>
      <c r="N25" s="29" t="s">
        <v>205</v>
      </c>
      <c r="O25" s="18" t="str">
        <f ca="1"/>
        <v>IND</v>
      </c>
    </row>
    <row r="26" spans="1:18" x14ac:dyDescent="0.25">
      <c r="A26" s="10" t="s">
        <v>144</v>
      </c>
      <c r="B26" s="10" t="s">
        <v>15</v>
      </c>
      <c r="C26" s="10">
        <v>33</v>
      </c>
      <c r="D26" s="10" t="s">
        <v>13</v>
      </c>
      <c r="E26" s="12">
        <v>44640</v>
      </c>
      <c r="F26" s="10" t="s">
        <v>9</v>
      </c>
      <c r="G26" s="11">
        <v>48530</v>
      </c>
      <c r="H26" s="10" t="s">
        <v>207</v>
      </c>
      <c r="I26" s="14">
        <f ca="1">(TODAY()-staff[[#This Row],[Date Joined]])/365</f>
        <v>3.6082191780821917</v>
      </c>
      <c r="J26" s="11">
        <f ca="1">IF(staff[[#This Row],[Tenure]]&gt;2,0.03,0.02)*staff[[#This Row],[Salary]]</f>
        <v>1455.8999999999999</v>
      </c>
      <c r="K26">
        <f>_xlfn.XLOOKUP(staff[[#This Row],[Rating]],$N$30:$N$34,$O$30:$O$34)</f>
        <v>4</v>
      </c>
      <c r="N26" s="29" t="s">
        <v>213</v>
      </c>
      <c r="O26" s="21">
        <f ca="1"/>
        <v>3.3945205479452056</v>
      </c>
    </row>
    <row r="27" spans="1:18" x14ac:dyDescent="0.25">
      <c r="A27" s="10" t="s">
        <v>51</v>
      </c>
      <c r="B27" s="10" t="s">
        <v>15</v>
      </c>
      <c r="C27" s="10">
        <v>33</v>
      </c>
      <c r="D27" s="10" t="s">
        <v>13</v>
      </c>
      <c r="E27" s="12">
        <v>44701</v>
      </c>
      <c r="F27" s="10" t="s">
        <v>9</v>
      </c>
      <c r="G27" s="11">
        <v>48530</v>
      </c>
      <c r="H27" s="10" t="s">
        <v>206</v>
      </c>
      <c r="I27" s="14">
        <f ca="1">(TODAY()-staff[[#This Row],[Date Joined]])/365</f>
        <v>3.441095890410959</v>
      </c>
      <c r="J27" s="11">
        <f ca="1">IF(staff[[#This Row],[Tenure]]&gt;2,0.03,0.02)*staff[[#This Row],[Salary]]</f>
        <v>1455.8999999999999</v>
      </c>
      <c r="K27">
        <f>_xlfn.XLOOKUP(staff[[#This Row],[Rating]],$N$30:$N$34,$O$30:$O$34)</f>
        <v>4</v>
      </c>
    </row>
    <row r="28" spans="1:18" x14ac:dyDescent="0.25">
      <c r="A28" s="10" t="s">
        <v>113</v>
      </c>
      <c r="B28" s="10" t="s">
        <v>15</v>
      </c>
      <c r="C28" s="10">
        <v>31</v>
      </c>
      <c r="D28" s="10" t="s">
        <v>16</v>
      </c>
      <c r="E28" s="12">
        <v>44450</v>
      </c>
      <c r="F28" s="10" t="s">
        <v>12</v>
      </c>
      <c r="G28" s="11">
        <v>48950</v>
      </c>
      <c r="H28" s="10" t="s">
        <v>207</v>
      </c>
      <c r="I28" s="14">
        <f ca="1">(TODAY()-staff[[#This Row],[Date Joined]])/365</f>
        <v>4.1287671232876715</v>
      </c>
      <c r="J28" s="11">
        <f ca="1">IF(staff[[#This Row],[Tenure]]&gt;2,0.03,0.02)*staff[[#This Row],[Salary]]</f>
        <v>1468.5</v>
      </c>
      <c r="K28">
        <f>_xlfn.XLOOKUP(staff[[#This Row],[Rating]],$N$30:$N$34,$O$30:$O$34)</f>
        <v>3</v>
      </c>
    </row>
    <row r="29" spans="1:18" x14ac:dyDescent="0.25">
      <c r="A29" s="10" t="s">
        <v>14</v>
      </c>
      <c r="B29" s="10" t="s">
        <v>15</v>
      </c>
      <c r="C29" s="10">
        <v>31</v>
      </c>
      <c r="D29" s="10" t="s">
        <v>16</v>
      </c>
      <c r="E29" s="12">
        <v>44511</v>
      </c>
      <c r="F29" s="10" t="s">
        <v>12</v>
      </c>
      <c r="G29" s="11">
        <v>48950</v>
      </c>
      <c r="H29" s="10" t="s">
        <v>206</v>
      </c>
      <c r="I29" s="14">
        <f ca="1">(TODAY()-staff[[#This Row],[Date Joined]])/365</f>
        <v>3.9616438356164383</v>
      </c>
      <c r="J29" s="11">
        <f ca="1">IF(staff[[#This Row],[Tenure]]&gt;2,0.03,0.02)*staff[[#This Row],[Salary]]</f>
        <v>1468.5</v>
      </c>
      <c r="K29">
        <f>_xlfn.XLOOKUP(staff[[#This Row],[Rating]],$N$30:$N$34,$O$30:$O$34)</f>
        <v>3</v>
      </c>
      <c r="N29" s="58" t="s">
        <v>6</v>
      </c>
      <c r="O29" s="58"/>
    </row>
    <row r="30" spans="1:18" x14ac:dyDescent="0.25">
      <c r="A30" s="10" t="s">
        <v>146</v>
      </c>
      <c r="B30" s="10" t="s">
        <v>15</v>
      </c>
      <c r="C30" s="10">
        <v>27</v>
      </c>
      <c r="D30" s="10" t="s">
        <v>16</v>
      </c>
      <c r="E30" s="12">
        <v>44506</v>
      </c>
      <c r="F30" s="10" t="s">
        <v>21</v>
      </c>
      <c r="G30" s="11">
        <v>48980</v>
      </c>
      <c r="H30" s="10" t="s">
        <v>207</v>
      </c>
      <c r="I30" s="14">
        <f ca="1">(TODAY()-staff[[#This Row],[Date Joined]])/365</f>
        <v>3.9753424657534246</v>
      </c>
      <c r="J30" s="11">
        <f ca="1">IF(staff[[#This Row],[Tenure]]&gt;2,0.03,0.02)*staff[[#This Row],[Salary]]</f>
        <v>1469.3999999999999</v>
      </c>
      <c r="K30">
        <f>_xlfn.XLOOKUP(staff[[#This Row],[Rating]],$N$30:$N$34,$O$30:$O$34)</f>
        <v>3</v>
      </c>
      <c r="N30" s="18" t="s">
        <v>10</v>
      </c>
      <c r="O30" s="33">
        <v>5</v>
      </c>
    </row>
    <row r="31" spans="1:18" x14ac:dyDescent="0.25">
      <c r="A31" s="10" t="s">
        <v>53</v>
      </c>
      <c r="B31" s="10" t="s">
        <v>15</v>
      </c>
      <c r="C31" s="10">
        <v>27</v>
      </c>
      <c r="D31" s="10" t="s">
        <v>16</v>
      </c>
      <c r="E31" s="12">
        <v>44567</v>
      </c>
      <c r="F31" s="10" t="s">
        <v>21</v>
      </c>
      <c r="G31" s="11">
        <v>48980</v>
      </c>
      <c r="H31" s="10" t="s">
        <v>206</v>
      </c>
      <c r="I31" s="14">
        <f ca="1">(TODAY()-staff[[#This Row],[Date Joined]])/365</f>
        <v>3.8082191780821919</v>
      </c>
      <c r="J31" s="11">
        <f ca="1">IF(staff[[#This Row],[Tenure]]&gt;2,0.03,0.02)*staff[[#This Row],[Salary]]</f>
        <v>1469.3999999999999</v>
      </c>
      <c r="K31">
        <f>_xlfn.XLOOKUP(staff[[#This Row],[Rating]],$N$30:$N$34,$O$30:$O$34)</f>
        <v>3</v>
      </c>
      <c r="N31" s="18" t="s">
        <v>13</v>
      </c>
      <c r="O31" s="33">
        <v>4</v>
      </c>
    </row>
    <row r="32" spans="1:18" x14ac:dyDescent="0.25">
      <c r="A32" s="10" t="s">
        <v>165</v>
      </c>
      <c r="B32" s="10" t="s">
        <v>8</v>
      </c>
      <c r="C32" s="10">
        <v>34</v>
      </c>
      <c r="D32" s="10" t="s">
        <v>24</v>
      </c>
      <c r="E32" s="12">
        <v>44660</v>
      </c>
      <c r="F32" s="10" t="s">
        <v>19</v>
      </c>
      <c r="G32" s="11">
        <v>49630</v>
      </c>
      <c r="H32" s="10" t="s">
        <v>207</v>
      </c>
      <c r="I32" s="14">
        <f ca="1">(TODAY()-staff[[#This Row],[Date Joined]])/365</f>
        <v>3.5534246575342467</v>
      </c>
      <c r="J32" s="11">
        <f ca="1">IF(staff[[#This Row],[Tenure]]&gt;2,0.03,0.02)*staff[[#This Row],[Salary]]</f>
        <v>1488.8999999999999</v>
      </c>
      <c r="K32">
        <f>_xlfn.XLOOKUP(staff[[#This Row],[Rating]],$N$30:$N$34,$O$30:$O$34)</f>
        <v>2</v>
      </c>
      <c r="N32" s="18" t="s">
        <v>16</v>
      </c>
      <c r="O32" s="33">
        <v>3</v>
      </c>
    </row>
    <row r="33" spans="1:15" x14ac:dyDescent="0.25">
      <c r="A33" s="10" t="s">
        <v>73</v>
      </c>
      <c r="B33" s="10" t="s">
        <v>8</v>
      </c>
      <c r="C33" s="10">
        <v>34</v>
      </c>
      <c r="D33" s="10" t="s">
        <v>24</v>
      </c>
      <c r="E33" s="12">
        <v>44721</v>
      </c>
      <c r="F33" s="10" t="s">
        <v>19</v>
      </c>
      <c r="G33" s="11">
        <v>49630</v>
      </c>
      <c r="H33" s="10" t="s">
        <v>206</v>
      </c>
      <c r="I33" s="14">
        <f ca="1">(TODAY()-staff[[#This Row],[Date Joined]])/365</f>
        <v>3.3863013698630136</v>
      </c>
      <c r="J33" s="11">
        <f ca="1">IF(staff[[#This Row],[Tenure]]&gt;2,0.03,0.02)*staff[[#This Row],[Salary]]</f>
        <v>1488.8999999999999</v>
      </c>
      <c r="K33">
        <f>_xlfn.XLOOKUP(staff[[#This Row],[Rating]],$N$30:$N$34,$O$30:$O$34)</f>
        <v>2</v>
      </c>
      <c r="N33" s="18" t="s">
        <v>24</v>
      </c>
      <c r="O33" s="33">
        <v>2</v>
      </c>
    </row>
    <row r="34" spans="1:15" x14ac:dyDescent="0.25">
      <c r="A34" s="10" t="s">
        <v>155</v>
      </c>
      <c r="B34" s="10" t="s">
        <v>15</v>
      </c>
      <c r="C34" s="10">
        <v>24</v>
      </c>
      <c r="D34" s="10" t="s">
        <v>24</v>
      </c>
      <c r="E34" s="12">
        <v>44375</v>
      </c>
      <c r="F34" s="10" t="s">
        <v>21</v>
      </c>
      <c r="G34" s="11">
        <v>52610</v>
      </c>
      <c r="H34" s="10" t="s">
        <v>207</v>
      </c>
      <c r="I34" s="14">
        <f ca="1">(TODAY()-staff[[#This Row],[Date Joined]])/365</f>
        <v>4.3342465753424655</v>
      </c>
      <c r="J34" s="11">
        <f ca="1">IF(staff[[#This Row],[Tenure]]&gt;2,0.03,0.02)*staff[[#This Row],[Salary]]</f>
        <v>1578.3</v>
      </c>
      <c r="K34">
        <f>_xlfn.XLOOKUP(staff[[#This Row],[Rating]],$N$30:$N$34,$O$30:$O$34)</f>
        <v>2</v>
      </c>
      <c r="N34" s="18" t="s">
        <v>42</v>
      </c>
      <c r="O34" s="33">
        <v>1</v>
      </c>
    </row>
    <row r="35" spans="1:15" x14ac:dyDescent="0.25">
      <c r="A35" s="10" t="s">
        <v>63</v>
      </c>
      <c r="B35" s="10" t="s">
        <v>15</v>
      </c>
      <c r="C35" s="10">
        <v>24</v>
      </c>
      <c r="D35" s="10" t="s">
        <v>24</v>
      </c>
      <c r="E35" s="12">
        <v>44436</v>
      </c>
      <c r="F35" s="10" t="s">
        <v>21</v>
      </c>
      <c r="G35" s="11">
        <v>52610</v>
      </c>
      <c r="H35" s="10" t="s">
        <v>206</v>
      </c>
      <c r="I35" s="14">
        <f ca="1">(TODAY()-staff[[#This Row],[Date Joined]])/365</f>
        <v>4.1671232876712327</v>
      </c>
      <c r="J35" s="11">
        <f ca="1">IF(staff[[#This Row],[Tenure]]&gt;2,0.03,0.02)*staff[[#This Row],[Salary]]</f>
        <v>1578.3</v>
      </c>
      <c r="K35">
        <f>_xlfn.XLOOKUP(staff[[#This Row],[Rating]],$N$30:$N$34,$O$30:$O$34)</f>
        <v>2</v>
      </c>
    </row>
    <row r="36" spans="1:15" x14ac:dyDescent="0.25">
      <c r="A36" s="10" t="s">
        <v>167</v>
      </c>
      <c r="B36" s="10" t="s">
        <v>8</v>
      </c>
      <c r="C36" s="10">
        <v>28</v>
      </c>
      <c r="D36" s="10" t="s">
        <v>16</v>
      </c>
      <c r="E36" s="12">
        <v>44296</v>
      </c>
      <c r="F36" s="10" t="s">
        <v>19</v>
      </c>
      <c r="G36" s="11">
        <v>53240</v>
      </c>
      <c r="H36" s="10" t="s">
        <v>207</v>
      </c>
      <c r="I36" s="14">
        <f ca="1">(TODAY()-staff[[#This Row],[Date Joined]])/365</f>
        <v>4.5506849315068489</v>
      </c>
      <c r="J36" s="11">
        <f ca="1">IF(staff[[#This Row],[Tenure]]&gt;2,0.03,0.02)*staff[[#This Row],[Salary]]</f>
        <v>1597.2</v>
      </c>
      <c r="K36">
        <f>_xlfn.XLOOKUP(staff[[#This Row],[Rating]],$N$30:$N$34,$O$30:$O$34)</f>
        <v>3</v>
      </c>
    </row>
    <row r="37" spans="1:15" x14ac:dyDescent="0.25">
      <c r="A37" s="10" t="s">
        <v>75</v>
      </c>
      <c r="B37" s="10" t="s">
        <v>8</v>
      </c>
      <c r="C37" s="10">
        <v>28</v>
      </c>
      <c r="D37" s="10" t="s">
        <v>16</v>
      </c>
      <c r="E37" s="12">
        <v>44357</v>
      </c>
      <c r="F37" s="10" t="s">
        <v>19</v>
      </c>
      <c r="G37" s="11">
        <v>53240</v>
      </c>
      <c r="H37" s="10" t="s">
        <v>206</v>
      </c>
      <c r="I37" s="14">
        <f ca="1">(TODAY()-staff[[#This Row],[Date Joined]])/365</f>
        <v>4.3835616438356162</v>
      </c>
      <c r="J37" s="11">
        <f ca="1">IF(staff[[#This Row],[Tenure]]&gt;2,0.03,0.02)*staff[[#This Row],[Salary]]</f>
        <v>1597.2</v>
      </c>
      <c r="K37">
        <f>_xlfn.XLOOKUP(staff[[#This Row],[Rating]],$N$30:$N$34,$O$30:$O$34)</f>
        <v>3</v>
      </c>
    </row>
    <row r="38" spans="1:15" x14ac:dyDescent="0.25">
      <c r="A38" s="10" t="s">
        <v>157</v>
      </c>
      <c r="B38" s="10" t="s">
        <v>15</v>
      </c>
      <c r="C38" s="10">
        <v>32</v>
      </c>
      <c r="D38" s="10" t="s">
        <v>16</v>
      </c>
      <c r="E38" s="12">
        <v>44403</v>
      </c>
      <c r="F38" s="10" t="s">
        <v>19</v>
      </c>
      <c r="G38" s="11">
        <v>53540</v>
      </c>
      <c r="H38" s="10" t="s">
        <v>207</v>
      </c>
      <c r="I38" s="14">
        <f ca="1">(TODAY()-staff[[#This Row],[Date Joined]])/365</f>
        <v>4.2575342465753421</v>
      </c>
      <c r="J38" s="11">
        <f ca="1">IF(staff[[#This Row],[Tenure]]&gt;2,0.03,0.02)*staff[[#This Row],[Salary]]</f>
        <v>1606.2</v>
      </c>
      <c r="K38">
        <f>_xlfn.XLOOKUP(staff[[#This Row],[Rating]],$N$30:$N$34,$O$30:$O$34)</f>
        <v>3</v>
      </c>
    </row>
    <row r="39" spans="1:15" x14ac:dyDescent="0.25">
      <c r="A39" s="10" t="s">
        <v>139</v>
      </c>
      <c r="B39" s="10" t="s">
        <v>15</v>
      </c>
      <c r="C39" s="10">
        <v>26</v>
      </c>
      <c r="D39" s="10" t="s">
        <v>16</v>
      </c>
      <c r="E39" s="12">
        <v>44350</v>
      </c>
      <c r="F39" s="10" t="s">
        <v>9</v>
      </c>
      <c r="G39" s="11">
        <v>53540</v>
      </c>
      <c r="H39" s="10" t="s">
        <v>207</v>
      </c>
      <c r="I39" s="14">
        <f ca="1">(TODAY()-staff[[#This Row],[Date Joined]])/365</f>
        <v>4.4027397260273968</v>
      </c>
      <c r="J39" s="11">
        <f ca="1">IF(staff[[#This Row],[Tenure]]&gt;2,0.03,0.02)*staff[[#This Row],[Salary]]</f>
        <v>1606.2</v>
      </c>
      <c r="K39">
        <f>_xlfn.XLOOKUP(staff[[#This Row],[Rating]],$N$30:$N$34,$O$30:$O$34)</f>
        <v>3</v>
      </c>
    </row>
    <row r="40" spans="1:15" x14ac:dyDescent="0.25">
      <c r="A40" s="10" t="s">
        <v>65</v>
      </c>
      <c r="B40" s="10" t="s">
        <v>15</v>
      </c>
      <c r="C40" s="10">
        <v>32</v>
      </c>
      <c r="D40" s="10" t="s">
        <v>16</v>
      </c>
      <c r="E40" s="12">
        <v>44465</v>
      </c>
      <c r="F40" s="10" t="s">
        <v>19</v>
      </c>
      <c r="G40" s="11">
        <v>53540</v>
      </c>
      <c r="H40" s="10" t="s">
        <v>206</v>
      </c>
      <c r="I40" s="14">
        <f ca="1">(TODAY()-staff[[#This Row],[Date Joined]])/365</f>
        <v>4.087671232876712</v>
      </c>
      <c r="J40" s="11">
        <f ca="1">IF(staff[[#This Row],[Tenure]]&gt;2,0.03,0.02)*staff[[#This Row],[Salary]]</f>
        <v>1606.2</v>
      </c>
      <c r="K40">
        <f>_xlfn.XLOOKUP(staff[[#This Row],[Rating]],$N$30:$N$34,$O$30:$O$34)</f>
        <v>3</v>
      </c>
    </row>
    <row r="41" spans="1:15" x14ac:dyDescent="0.25">
      <c r="A41" s="10" t="s">
        <v>46</v>
      </c>
      <c r="B41" s="10" t="s">
        <v>15</v>
      </c>
      <c r="C41" s="10">
        <v>26</v>
      </c>
      <c r="D41" s="10" t="s">
        <v>16</v>
      </c>
      <c r="E41" s="12">
        <v>44411</v>
      </c>
      <c r="F41" s="10" t="s">
        <v>9</v>
      </c>
      <c r="G41" s="11">
        <v>53540</v>
      </c>
      <c r="H41" s="10" t="s">
        <v>206</v>
      </c>
      <c r="I41" s="14">
        <f ca="1">(TODAY()-staff[[#This Row],[Date Joined]])/365</f>
        <v>4.2356164383561641</v>
      </c>
      <c r="J41" s="11">
        <f ca="1">IF(staff[[#This Row],[Tenure]]&gt;2,0.03,0.02)*staff[[#This Row],[Salary]]</f>
        <v>1606.2</v>
      </c>
      <c r="K41">
        <f>_xlfn.XLOOKUP(staff[[#This Row],[Rating]],$N$30:$N$34,$O$30:$O$34)</f>
        <v>3</v>
      </c>
    </row>
    <row r="42" spans="1:15" x14ac:dyDescent="0.25">
      <c r="A42" s="10" t="s">
        <v>174</v>
      </c>
      <c r="B42" s="10" t="s">
        <v>15</v>
      </c>
      <c r="C42" s="10">
        <v>33</v>
      </c>
      <c r="D42" s="10" t="s">
        <v>16</v>
      </c>
      <c r="E42" s="12">
        <v>44448</v>
      </c>
      <c r="F42" s="10" t="s">
        <v>12</v>
      </c>
      <c r="G42" s="11">
        <v>53870</v>
      </c>
      <c r="H42" s="10" t="s">
        <v>207</v>
      </c>
      <c r="I42" s="14">
        <f ca="1">(TODAY()-staff[[#This Row],[Date Joined]])/365</f>
        <v>4.1342465753424653</v>
      </c>
      <c r="J42" s="11">
        <f ca="1">IF(staff[[#This Row],[Tenure]]&gt;2,0.03,0.02)*staff[[#This Row],[Salary]]</f>
        <v>1616.1</v>
      </c>
      <c r="K42">
        <f>_xlfn.XLOOKUP(staff[[#This Row],[Rating]],$N$30:$N$34,$O$30:$O$34)</f>
        <v>3</v>
      </c>
    </row>
    <row r="43" spans="1:15" x14ac:dyDescent="0.25">
      <c r="A43" s="10" t="s">
        <v>82</v>
      </c>
      <c r="B43" s="10" t="s">
        <v>15</v>
      </c>
      <c r="C43" s="10">
        <v>33</v>
      </c>
      <c r="D43" s="10" t="s">
        <v>16</v>
      </c>
      <c r="E43" s="12">
        <v>44509</v>
      </c>
      <c r="F43" s="10" t="s">
        <v>12</v>
      </c>
      <c r="G43" s="11">
        <v>53870</v>
      </c>
      <c r="H43" s="10" t="s">
        <v>206</v>
      </c>
      <c r="I43" s="14">
        <f ca="1">(TODAY()-staff[[#This Row],[Date Joined]])/365</f>
        <v>3.967123287671233</v>
      </c>
      <c r="J43" s="11">
        <f ca="1">IF(staff[[#This Row],[Tenure]]&gt;2,0.03,0.02)*staff[[#This Row],[Salary]]</f>
        <v>1616.1</v>
      </c>
      <c r="K43">
        <f>_xlfn.XLOOKUP(staff[[#This Row],[Rating]],$N$30:$N$34,$O$30:$O$34)</f>
        <v>3</v>
      </c>
    </row>
    <row r="44" spans="1:15" x14ac:dyDescent="0.25">
      <c r="A44" s="10" t="s">
        <v>182</v>
      </c>
      <c r="B44" s="10" t="s">
        <v>15</v>
      </c>
      <c r="C44" s="10">
        <v>27</v>
      </c>
      <c r="D44" s="10" t="s">
        <v>16</v>
      </c>
      <c r="E44" s="12">
        <v>44073</v>
      </c>
      <c r="F44" s="10" t="s">
        <v>19</v>
      </c>
      <c r="G44" s="11">
        <v>54970</v>
      </c>
      <c r="H44" s="10" t="s">
        <v>207</v>
      </c>
      <c r="I44" s="14">
        <f ca="1">(TODAY()-staff[[#This Row],[Date Joined]])/365</f>
        <v>5.161643835616438</v>
      </c>
      <c r="J44" s="11">
        <f ca="1">IF(staff[[#This Row],[Tenure]]&gt;2,0.03,0.02)*staff[[#This Row],[Salary]]</f>
        <v>1649.1</v>
      </c>
      <c r="K44">
        <f>_xlfn.XLOOKUP(staff[[#This Row],[Rating]],$N$30:$N$34,$O$30:$O$34)</f>
        <v>3</v>
      </c>
    </row>
    <row r="45" spans="1:15" x14ac:dyDescent="0.25">
      <c r="A45" s="10" t="s">
        <v>89</v>
      </c>
      <c r="B45" s="10" t="s">
        <v>15</v>
      </c>
      <c r="C45" s="10">
        <v>27</v>
      </c>
      <c r="D45" s="10" t="s">
        <v>16</v>
      </c>
      <c r="E45" s="12">
        <v>44134</v>
      </c>
      <c r="F45" s="10" t="s">
        <v>19</v>
      </c>
      <c r="G45" s="11">
        <v>54970</v>
      </c>
      <c r="H45" s="10" t="s">
        <v>206</v>
      </c>
      <c r="I45" s="14">
        <f ca="1">(TODAY()-staff[[#This Row],[Date Joined]])/365</f>
        <v>4.9945205479452053</v>
      </c>
      <c r="J45" s="11">
        <f ca="1">IF(staff[[#This Row],[Tenure]]&gt;2,0.03,0.02)*staff[[#This Row],[Salary]]</f>
        <v>1649.1</v>
      </c>
      <c r="K45">
        <f>_xlfn.XLOOKUP(staff[[#This Row],[Rating]],$N$30:$N$34,$O$30:$O$34)</f>
        <v>3</v>
      </c>
    </row>
    <row r="46" spans="1:15" x14ac:dyDescent="0.25">
      <c r="A46" s="10" t="s">
        <v>202</v>
      </c>
      <c r="B46" s="10" t="s">
        <v>8</v>
      </c>
      <c r="C46" s="10">
        <v>38</v>
      </c>
      <c r="D46" s="10" t="s">
        <v>13</v>
      </c>
      <c r="E46" s="12">
        <v>44268</v>
      </c>
      <c r="F46" s="10" t="s">
        <v>19</v>
      </c>
      <c r="G46" s="11">
        <v>56870</v>
      </c>
      <c r="H46" s="10" t="s">
        <v>207</v>
      </c>
      <c r="I46" s="14">
        <f ca="1">(TODAY()-staff[[#This Row],[Date Joined]])/365</f>
        <v>4.6273972602739724</v>
      </c>
      <c r="J46" s="11">
        <f ca="1">IF(staff[[#This Row],[Tenure]]&gt;2,0.03,0.02)*staff[[#This Row],[Salary]]</f>
        <v>1706.1</v>
      </c>
      <c r="K46">
        <f>_xlfn.XLOOKUP(staff[[#This Row],[Rating]],$N$30:$N$34,$O$30:$O$34)</f>
        <v>4</v>
      </c>
    </row>
    <row r="47" spans="1:15" x14ac:dyDescent="0.25">
      <c r="A47" s="10" t="s">
        <v>109</v>
      </c>
      <c r="B47" s="10" t="s">
        <v>8</v>
      </c>
      <c r="C47" s="10">
        <v>38</v>
      </c>
      <c r="D47" s="10" t="s">
        <v>13</v>
      </c>
      <c r="E47" s="12">
        <v>44329</v>
      </c>
      <c r="F47" s="10" t="s">
        <v>19</v>
      </c>
      <c r="G47" s="11">
        <v>56870</v>
      </c>
      <c r="H47" s="10" t="s">
        <v>206</v>
      </c>
      <c r="I47" s="14">
        <f ca="1">(TODAY()-staff[[#This Row],[Date Joined]])/365</f>
        <v>4.4602739726027396</v>
      </c>
      <c r="J47" s="11">
        <f ca="1">IF(staff[[#This Row],[Tenure]]&gt;2,0.03,0.02)*staff[[#This Row],[Salary]]</f>
        <v>1706.1</v>
      </c>
      <c r="K47">
        <f>_xlfn.XLOOKUP(staff[[#This Row],[Rating]],$N$30:$N$34,$O$30:$O$34)</f>
        <v>4</v>
      </c>
    </row>
    <row r="48" spans="1:15" x14ac:dyDescent="0.25">
      <c r="A48" s="10" t="s">
        <v>125</v>
      </c>
      <c r="B48" s="10" t="s">
        <v>15</v>
      </c>
      <c r="C48" s="10">
        <v>21</v>
      </c>
      <c r="D48" s="10" t="s">
        <v>16</v>
      </c>
      <c r="E48" s="12">
        <v>44701</v>
      </c>
      <c r="F48" s="10" t="s">
        <v>9</v>
      </c>
      <c r="G48" s="11">
        <v>57090</v>
      </c>
      <c r="H48" s="10" t="s">
        <v>207</v>
      </c>
      <c r="I48" s="14">
        <f ca="1">(TODAY()-staff[[#This Row],[Date Joined]])/365</f>
        <v>3.441095890410959</v>
      </c>
      <c r="J48" s="11">
        <f ca="1">IF(staff[[#This Row],[Tenure]]&gt;2,0.03,0.02)*staff[[#This Row],[Salary]]</f>
        <v>1712.7</v>
      </c>
      <c r="K48">
        <f>_xlfn.XLOOKUP(staff[[#This Row],[Rating]],$N$30:$N$34,$O$30:$O$34)</f>
        <v>3</v>
      </c>
    </row>
    <row r="49" spans="1:11" x14ac:dyDescent="0.25">
      <c r="A49" s="10" t="s">
        <v>31</v>
      </c>
      <c r="B49" s="10" t="s">
        <v>15</v>
      </c>
      <c r="C49" s="10">
        <v>21</v>
      </c>
      <c r="D49" s="10" t="s">
        <v>16</v>
      </c>
      <c r="E49" s="12">
        <v>44762</v>
      </c>
      <c r="F49" s="10" t="s">
        <v>9</v>
      </c>
      <c r="G49" s="11">
        <v>57090</v>
      </c>
      <c r="H49" s="10" t="s">
        <v>206</v>
      </c>
      <c r="I49" s="14">
        <f ca="1">(TODAY()-staff[[#This Row],[Date Joined]])/365</f>
        <v>3.2739726027397262</v>
      </c>
      <c r="J49" s="11">
        <f ca="1">IF(staff[[#This Row],[Tenure]]&gt;2,0.03,0.02)*staff[[#This Row],[Salary]]</f>
        <v>1712.7</v>
      </c>
      <c r="K49">
        <f>_xlfn.XLOOKUP(staff[[#This Row],[Rating]],$N$30:$N$34,$O$30:$O$34)</f>
        <v>3</v>
      </c>
    </row>
    <row r="50" spans="1:11" x14ac:dyDescent="0.25">
      <c r="A50" s="10" t="s">
        <v>120</v>
      </c>
      <c r="B50" s="10" t="s">
        <v>8</v>
      </c>
      <c r="C50" s="10">
        <v>31</v>
      </c>
      <c r="D50" s="10" t="s">
        <v>16</v>
      </c>
      <c r="E50" s="12">
        <v>44604</v>
      </c>
      <c r="F50" s="10" t="s">
        <v>12</v>
      </c>
      <c r="G50" s="11">
        <v>58100</v>
      </c>
      <c r="H50" s="10" t="s">
        <v>207</v>
      </c>
      <c r="I50" s="14">
        <f ca="1">(TODAY()-staff[[#This Row],[Date Joined]])/365</f>
        <v>3.7068493150684931</v>
      </c>
      <c r="J50" s="11">
        <f ca="1">IF(staff[[#This Row],[Tenure]]&gt;2,0.03,0.02)*staff[[#This Row],[Salary]]</f>
        <v>1743</v>
      </c>
      <c r="K50">
        <f>_xlfn.XLOOKUP(staff[[#This Row],[Rating]],$N$30:$N$34,$O$30:$O$34)</f>
        <v>3</v>
      </c>
    </row>
    <row r="51" spans="1:11" x14ac:dyDescent="0.25">
      <c r="A51" s="10" t="s">
        <v>26</v>
      </c>
      <c r="B51" s="10" t="s">
        <v>8</v>
      </c>
      <c r="C51" s="10">
        <v>31</v>
      </c>
      <c r="D51" s="10" t="s">
        <v>16</v>
      </c>
      <c r="E51" s="12">
        <v>44663</v>
      </c>
      <c r="F51" s="10" t="s">
        <v>12</v>
      </c>
      <c r="G51" s="11">
        <v>58100</v>
      </c>
      <c r="H51" s="10" t="s">
        <v>206</v>
      </c>
      <c r="I51" s="14">
        <f ca="1">(TODAY()-staff[[#This Row],[Date Joined]])/365</f>
        <v>3.5452054794520547</v>
      </c>
      <c r="J51" s="11">
        <f ca="1">IF(staff[[#This Row],[Tenure]]&gt;2,0.03,0.02)*staff[[#This Row],[Salary]]</f>
        <v>1743</v>
      </c>
      <c r="K51">
        <f>_xlfn.XLOOKUP(staff[[#This Row],[Rating]],$N$30:$N$34,$O$30:$O$34)</f>
        <v>3</v>
      </c>
    </row>
    <row r="52" spans="1:11" x14ac:dyDescent="0.25">
      <c r="A52" s="10" t="s">
        <v>130</v>
      </c>
      <c r="B52" s="10" t="s">
        <v>8</v>
      </c>
      <c r="C52" s="10">
        <v>34</v>
      </c>
      <c r="D52" s="10" t="s">
        <v>16</v>
      </c>
      <c r="E52" s="12">
        <v>44594</v>
      </c>
      <c r="F52" s="10" t="s">
        <v>21</v>
      </c>
      <c r="G52" s="11">
        <v>58940</v>
      </c>
      <c r="H52" s="10" t="s">
        <v>207</v>
      </c>
      <c r="I52" s="14">
        <f ca="1">(TODAY()-staff[[#This Row],[Date Joined]])/365</f>
        <v>3.7342465753424658</v>
      </c>
      <c r="J52" s="11">
        <f ca="1">IF(staff[[#This Row],[Tenure]]&gt;2,0.03,0.02)*staff[[#This Row],[Salary]]</f>
        <v>1768.2</v>
      </c>
      <c r="K52">
        <f>_xlfn.XLOOKUP(staff[[#This Row],[Rating]],$N$30:$N$34,$O$30:$O$34)</f>
        <v>3</v>
      </c>
    </row>
    <row r="53" spans="1:11" x14ac:dyDescent="0.25">
      <c r="A53" s="10" t="s">
        <v>36</v>
      </c>
      <c r="B53" s="10" t="s">
        <v>8</v>
      </c>
      <c r="C53" s="10">
        <v>34</v>
      </c>
      <c r="D53" s="10" t="s">
        <v>16</v>
      </c>
      <c r="E53" s="12">
        <v>44653</v>
      </c>
      <c r="F53" s="10" t="s">
        <v>21</v>
      </c>
      <c r="G53" s="11">
        <v>58940</v>
      </c>
      <c r="H53" s="10" t="s">
        <v>206</v>
      </c>
      <c r="I53" s="14">
        <f ca="1">(TODAY()-staff[[#This Row],[Date Joined]])/365</f>
        <v>3.5726027397260274</v>
      </c>
      <c r="J53" s="11">
        <f ca="1">IF(staff[[#This Row],[Tenure]]&gt;2,0.03,0.02)*staff[[#This Row],[Salary]]</f>
        <v>1768.2</v>
      </c>
      <c r="K53">
        <f>_xlfn.XLOOKUP(staff[[#This Row],[Rating]],$N$30:$N$34,$O$30:$O$34)</f>
        <v>3</v>
      </c>
    </row>
    <row r="54" spans="1:11" x14ac:dyDescent="0.25">
      <c r="A54" s="10" t="s">
        <v>193</v>
      </c>
      <c r="B54" s="10" t="s">
        <v>15</v>
      </c>
      <c r="C54" s="10">
        <v>19</v>
      </c>
      <c r="D54" s="10" t="s">
        <v>16</v>
      </c>
      <c r="E54" s="12">
        <v>44218</v>
      </c>
      <c r="F54" s="10" t="s">
        <v>9</v>
      </c>
      <c r="G54" s="11">
        <v>58960</v>
      </c>
      <c r="H54" s="10" t="s">
        <v>207</v>
      </c>
      <c r="I54" s="14">
        <f ca="1">(TODAY()-staff[[#This Row],[Date Joined]])/365</f>
        <v>4.7643835616438359</v>
      </c>
      <c r="J54" s="11">
        <f ca="1">IF(staff[[#This Row],[Tenure]]&gt;2,0.03,0.02)*staff[[#This Row],[Salary]]</f>
        <v>1768.8</v>
      </c>
      <c r="K54">
        <f>_xlfn.XLOOKUP(staff[[#This Row],[Rating]],$N$30:$N$34,$O$30:$O$34)</f>
        <v>3</v>
      </c>
    </row>
    <row r="55" spans="1:11" x14ac:dyDescent="0.25">
      <c r="A55" s="10" t="s">
        <v>100</v>
      </c>
      <c r="B55" s="10" t="s">
        <v>15</v>
      </c>
      <c r="C55" s="10">
        <v>19</v>
      </c>
      <c r="D55" s="10" t="s">
        <v>16</v>
      </c>
      <c r="E55" s="12">
        <v>44277</v>
      </c>
      <c r="F55" s="10" t="s">
        <v>9</v>
      </c>
      <c r="G55" s="11">
        <v>58960</v>
      </c>
      <c r="H55" s="10" t="s">
        <v>206</v>
      </c>
      <c r="I55" s="14">
        <f ca="1">(TODAY()-staff[[#This Row],[Date Joined]])/365</f>
        <v>4.602739726027397</v>
      </c>
      <c r="J55" s="11">
        <f ca="1">IF(staff[[#This Row],[Tenure]]&gt;2,0.03,0.02)*staff[[#This Row],[Salary]]</f>
        <v>1768.8</v>
      </c>
      <c r="K55">
        <f>_xlfn.XLOOKUP(staff[[#This Row],[Rating]],$N$30:$N$34,$O$30:$O$34)</f>
        <v>3</v>
      </c>
    </row>
    <row r="56" spans="1:11" x14ac:dyDescent="0.25">
      <c r="A56" s="10" t="s">
        <v>171</v>
      </c>
      <c r="B56" s="10" t="s">
        <v>15</v>
      </c>
      <c r="C56" s="10">
        <v>33</v>
      </c>
      <c r="D56" s="10" t="s">
        <v>16</v>
      </c>
      <c r="E56" s="12">
        <v>44181</v>
      </c>
      <c r="F56" s="10" t="s">
        <v>21</v>
      </c>
      <c r="G56" s="11">
        <v>59430</v>
      </c>
      <c r="H56" s="10" t="s">
        <v>207</v>
      </c>
      <c r="I56" s="14">
        <f ca="1">(TODAY()-staff[[#This Row],[Date Joined]])/365</f>
        <v>4.8657534246575347</v>
      </c>
      <c r="J56" s="11">
        <f ca="1">IF(staff[[#This Row],[Tenure]]&gt;2,0.03,0.02)*staff[[#This Row],[Salary]]</f>
        <v>1782.8999999999999</v>
      </c>
      <c r="K56">
        <f>_xlfn.XLOOKUP(staff[[#This Row],[Rating]],$N$30:$N$34,$O$30:$O$34)</f>
        <v>3</v>
      </c>
    </row>
    <row r="57" spans="1:11" x14ac:dyDescent="0.25">
      <c r="A57" s="10" t="s">
        <v>79</v>
      </c>
      <c r="B57" s="10" t="s">
        <v>15</v>
      </c>
      <c r="C57" s="10">
        <v>33</v>
      </c>
      <c r="D57" s="10" t="s">
        <v>16</v>
      </c>
      <c r="E57" s="12">
        <v>44243</v>
      </c>
      <c r="F57" s="10" t="s">
        <v>21</v>
      </c>
      <c r="G57" s="11">
        <v>59430</v>
      </c>
      <c r="H57" s="10" t="s">
        <v>206</v>
      </c>
      <c r="I57" s="14">
        <f ca="1">(TODAY()-staff[[#This Row],[Date Joined]])/365</f>
        <v>4.6958904109589037</v>
      </c>
      <c r="J57" s="11">
        <f ca="1">IF(staff[[#This Row],[Tenure]]&gt;2,0.03,0.02)*staff[[#This Row],[Salary]]</f>
        <v>1782.8999999999999</v>
      </c>
      <c r="K57">
        <f>_xlfn.XLOOKUP(staff[[#This Row],[Rating]],$N$30:$N$34,$O$30:$O$34)</f>
        <v>3</v>
      </c>
    </row>
    <row r="58" spans="1:11" x14ac:dyDescent="0.25">
      <c r="A58" s="10" t="s">
        <v>132</v>
      </c>
      <c r="B58" s="10" t="s">
        <v>8</v>
      </c>
      <c r="C58" s="10">
        <v>34</v>
      </c>
      <c r="D58" s="10" t="s">
        <v>16</v>
      </c>
      <c r="E58" s="12">
        <v>44550</v>
      </c>
      <c r="F58" s="10" t="s">
        <v>21</v>
      </c>
      <c r="G58" s="11">
        <v>60130</v>
      </c>
      <c r="H58" s="10" t="s">
        <v>207</v>
      </c>
      <c r="I58" s="14">
        <f ca="1">(TODAY()-staff[[#This Row],[Date Joined]])/365</f>
        <v>3.8547945205479452</v>
      </c>
      <c r="J58" s="11">
        <f ca="1">IF(staff[[#This Row],[Tenure]]&gt;2,0.03,0.02)*staff[[#This Row],[Salary]]</f>
        <v>1803.8999999999999</v>
      </c>
      <c r="K58">
        <f>_xlfn.XLOOKUP(staff[[#This Row],[Rating]],$N$30:$N$34,$O$30:$O$34)</f>
        <v>3</v>
      </c>
    </row>
    <row r="59" spans="1:11" x14ac:dyDescent="0.25">
      <c r="A59" s="10" t="s">
        <v>38</v>
      </c>
      <c r="B59" s="10" t="s">
        <v>8</v>
      </c>
      <c r="C59" s="10">
        <v>34</v>
      </c>
      <c r="D59" s="10" t="s">
        <v>16</v>
      </c>
      <c r="E59" s="12">
        <v>44612</v>
      </c>
      <c r="F59" s="10" t="s">
        <v>21</v>
      </c>
      <c r="G59" s="11">
        <v>60130</v>
      </c>
      <c r="H59" s="10" t="s">
        <v>206</v>
      </c>
      <c r="I59" s="14">
        <f ca="1">(TODAY()-staff[[#This Row],[Date Joined]])/365</f>
        <v>3.6849315068493151</v>
      </c>
      <c r="J59" s="11">
        <f ca="1">IF(staff[[#This Row],[Tenure]]&gt;2,0.03,0.02)*staff[[#This Row],[Salary]]</f>
        <v>1803.8999999999999</v>
      </c>
      <c r="K59">
        <f>_xlfn.XLOOKUP(staff[[#This Row],[Rating]],$N$30:$N$34,$O$30:$O$34)</f>
        <v>3</v>
      </c>
    </row>
    <row r="60" spans="1:11" x14ac:dyDescent="0.25">
      <c r="A60" s="10" t="s">
        <v>131</v>
      </c>
      <c r="B60" s="10" t="s">
        <v>15</v>
      </c>
      <c r="C60" s="10">
        <v>30</v>
      </c>
      <c r="D60" s="10" t="s">
        <v>16</v>
      </c>
      <c r="E60" s="12">
        <v>44607</v>
      </c>
      <c r="F60" s="10" t="s">
        <v>9</v>
      </c>
      <c r="G60" s="11">
        <v>60570</v>
      </c>
      <c r="H60" s="10" t="s">
        <v>207</v>
      </c>
      <c r="I60" s="14">
        <f ca="1">(TODAY()-staff[[#This Row],[Date Joined]])/365</f>
        <v>3.6986301369863015</v>
      </c>
      <c r="J60" s="11">
        <f ca="1">IF(staff[[#This Row],[Tenure]]&gt;2,0.03,0.02)*staff[[#This Row],[Salary]]</f>
        <v>1817.1</v>
      </c>
      <c r="K60">
        <f>_xlfn.XLOOKUP(staff[[#This Row],[Rating]],$N$30:$N$34,$O$30:$O$34)</f>
        <v>3</v>
      </c>
    </row>
    <row r="61" spans="1:11" x14ac:dyDescent="0.25">
      <c r="A61" s="10" t="s">
        <v>37</v>
      </c>
      <c r="B61" s="10" t="s">
        <v>15</v>
      </c>
      <c r="C61" s="10">
        <v>30</v>
      </c>
      <c r="D61" s="10" t="s">
        <v>16</v>
      </c>
      <c r="E61" s="12">
        <v>44666</v>
      </c>
      <c r="F61" s="10" t="s">
        <v>9</v>
      </c>
      <c r="G61" s="11">
        <v>60570</v>
      </c>
      <c r="H61" s="10" t="s">
        <v>206</v>
      </c>
      <c r="I61" s="14">
        <f ca="1">(TODAY()-staff[[#This Row],[Date Joined]])/365</f>
        <v>3.536986301369863</v>
      </c>
      <c r="J61" s="11">
        <f ca="1">IF(staff[[#This Row],[Tenure]]&gt;2,0.03,0.02)*staff[[#This Row],[Salary]]</f>
        <v>1817.1</v>
      </c>
      <c r="K61">
        <f>_xlfn.XLOOKUP(staff[[#This Row],[Rating]],$N$30:$N$34,$O$30:$O$34)</f>
        <v>3</v>
      </c>
    </row>
    <row r="62" spans="1:11" x14ac:dyDescent="0.25">
      <c r="A62" s="10" t="s">
        <v>153</v>
      </c>
      <c r="B62" s="10" t="s">
        <v>8</v>
      </c>
      <c r="C62" s="10">
        <v>24</v>
      </c>
      <c r="D62" s="10" t="s">
        <v>16</v>
      </c>
      <c r="E62" s="12">
        <v>44087</v>
      </c>
      <c r="F62" s="10" t="s">
        <v>12</v>
      </c>
      <c r="G62" s="11">
        <v>62780</v>
      </c>
      <c r="H62" s="10" t="s">
        <v>207</v>
      </c>
      <c r="I62" s="14">
        <f ca="1">(TODAY()-staff[[#This Row],[Date Joined]])/365</f>
        <v>5.1232876712328768</v>
      </c>
      <c r="J62" s="11">
        <f ca="1">IF(staff[[#This Row],[Tenure]]&gt;2,0.03,0.02)*staff[[#This Row],[Salary]]</f>
        <v>1883.3999999999999</v>
      </c>
      <c r="K62">
        <f>_xlfn.XLOOKUP(staff[[#This Row],[Rating]],$N$30:$N$34,$O$30:$O$34)</f>
        <v>3</v>
      </c>
    </row>
    <row r="63" spans="1:11" x14ac:dyDescent="0.25">
      <c r="A63" s="10" t="s">
        <v>61</v>
      </c>
      <c r="B63" s="10" t="s">
        <v>8</v>
      </c>
      <c r="C63" s="10">
        <v>24</v>
      </c>
      <c r="D63" s="10" t="s">
        <v>16</v>
      </c>
      <c r="E63" s="12">
        <v>44148</v>
      </c>
      <c r="F63" s="10" t="s">
        <v>12</v>
      </c>
      <c r="G63" s="11">
        <v>62780</v>
      </c>
      <c r="H63" s="10" t="s">
        <v>206</v>
      </c>
      <c r="I63" s="14">
        <f ca="1">(TODAY()-staff[[#This Row],[Date Joined]])/365</f>
        <v>4.956164383561644</v>
      </c>
      <c r="J63" s="11">
        <f ca="1">IF(staff[[#This Row],[Tenure]]&gt;2,0.03,0.02)*staff[[#This Row],[Salary]]</f>
        <v>1883.3999999999999</v>
      </c>
      <c r="K63">
        <f>_xlfn.XLOOKUP(staff[[#This Row],[Rating]],$N$30:$N$34,$O$30:$O$34)</f>
        <v>3</v>
      </c>
    </row>
    <row r="64" spans="1:11" x14ac:dyDescent="0.25">
      <c r="A64" s="10" t="s">
        <v>116</v>
      </c>
      <c r="B64" s="10" t="s">
        <v>208</v>
      </c>
      <c r="C64" s="10">
        <v>30</v>
      </c>
      <c r="D64" s="10" t="s">
        <v>16</v>
      </c>
      <c r="E64" s="12">
        <v>44535</v>
      </c>
      <c r="F64" s="10" t="s">
        <v>21</v>
      </c>
      <c r="G64" s="11">
        <v>64000</v>
      </c>
      <c r="H64" s="10" t="s">
        <v>207</v>
      </c>
      <c r="I64" s="14">
        <f ca="1">(TODAY()-staff[[#This Row],[Date Joined]])/365</f>
        <v>3.8958904109589043</v>
      </c>
      <c r="J64" s="11">
        <f ca="1">IF(staff[[#This Row],[Tenure]]&gt;2,0.03,0.02)*staff[[#This Row],[Salary]]</f>
        <v>1920</v>
      </c>
      <c r="K64">
        <f>_xlfn.XLOOKUP(staff[[#This Row],[Rating]],$N$30:$N$34,$O$30:$O$34)</f>
        <v>3</v>
      </c>
    </row>
    <row r="65" spans="1:11" x14ac:dyDescent="0.25">
      <c r="A65" s="10" t="s">
        <v>20</v>
      </c>
      <c r="B65" s="10" t="s">
        <v>208</v>
      </c>
      <c r="C65" s="10">
        <v>30</v>
      </c>
      <c r="D65" s="10" t="s">
        <v>16</v>
      </c>
      <c r="E65" s="12">
        <v>44597</v>
      </c>
      <c r="F65" s="10" t="s">
        <v>21</v>
      </c>
      <c r="G65" s="11">
        <v>64000</v>
      </c>
      <c r="H65" s="10" t="s">
        <v>206</v>
      </c>
      <c r="I65" s="14">
        <f ca="1">(TODAY()-staff[[#This Row],[Date Joined]])/365</f>
        <v>3.7260273972602738</v>
      </c>
      <c r="J65" s="11">
        <f ca="1">IF(staff[[#This Row],[Tenure]]&gt;2,0.03,0.02)*staff[[#This Row],[Salary]]</f>
        <v>1920</v>
      </c>
      <c r="K65">
        <f>_xlfn.XLOOKUP(staff[[#This Row],[Rating]],$N$30:$N$34,$O$30:$O$34)</f>
        <v>3</v>
      </c>
    </row>
    <row r="66" spans="1:11" x14ac:dyDescent="0.25">
      <c r="A66" s="10" t="s">
        <v>186</v>
      </c>
      <c r="B66" s="10" t="s">
        <v>8</v>
      </c>
      <c r="C66" s="10">
        <v>33</v>
      </c>
      <c r="D66" s="10" t="s">
        <v>16</v>
      </c>
      <c r="E66" s="12">
        <v>44006</v>
      </c>
      <c r="F66" s="10" t="s">
        <v>21</v>
      </c>
      <c r="G66" s="11">
        <v>65360</v>
      </c>
      <c r="H66" s="10" t="s">
        <v>207</v>
      </c>
      <c r="I66" s="14">
        <f ca="1">(TODAY()-staff[[#This Row],[Date Joined]])/365</f>
        <v>5.3452054794520549</v>
      </c>
      <c r="J66" s="11">
        <f ca="1">IF(staff[[#This Row],[Tenure]]&gt;2,0.03,0.02)*staff[[#This Row],[Salary]]</f>
        <v>1960.8</v>
      </c>
      <c r="K66">
        <f>_xlfn.XLOOKUP(staff[[#This Row],[Rating]],$N$30:$N$34,$O$30:$O$34)</f>
        <v>3</v>
      </c>
    </row>
    <row r="67" spans="1:11" x14ac:dyDescent="0.25">
      <c r="A67" s="10" t="s">
        <v>93</v>
      </c>
      <c r="B67" s="10" t="s">
        <v>8</v>
      </c>
      <c r="C67" s="10">
        <v>33</v>
      </c>
      <c r="D67" s="10" t="s">
        <v>16</v>
      </c>
      <c r="E67" s="12">
        <v>44067</v>
      </c>
      <c r="F67" s="10" t="s">
        <v>21</v>
      </c>
      <c r="G67" s="11">
        <v>65360</v>
      </c>
      <c r="H67" s="10" t="s">
        <v>206</v>
      </c>
      <c r="I67" s="14">
        <f ca="1">(TODAY()-staff[[#This Row],[Date Joined]])/365</f>
        <v>5.1780821917808222</v>
      </c>
      <c r="J67" s="11">
        <f ca="1">IF(staff[[#This Row],[Tenure]]&gt;2,0.03,0.02)*staff[[#This Row],[Salary]]</f>
        <v>1960.8</v>
      </c>
      <c r="K67">
        <f>_xlfn.XLOOKUP(staff[[#This Row],[Rating]],$N$30:$N$34,$O$30:$O$34)</f>
        <v>3</v>
      </c>
    </row>
    <row r="68" spans="1:11" x14ac:dyDescent="0.25">
      <c r="A68" s="10" t="s">
        <v>168</v>
      </c>
      <c r="B68" s="10" t="s">
        <v>15</v>
      </c>
      <c r="C68" s="10">
        <v>25</v>
      </c>
      <c r="D68" s="10" t="s">
        <v>16</v>
      </c>
      <c r="E68" s="12">
        <v>44322</v>
      </c>
      <c r="F68" s="10" t="s">
        <v>19</v>
      </c>
      <c r="G68" s="11">
        <v>65700</v>
      </c>
      <c r="H68" s="10" t="s">
        <v>207</v>
      </c>
      <c r="I68" s="14">
        <f ca="1">(TODAY()-staff[[#This Row],[Date Joined]])/365</f>
        <v>4.4794520547945202</v>
      </c>
      <c r="J68" s="11">
        <f ca="1">IF(staff[[#This Row],[Tenure]]&gt;2,0.03,0.02)*staff[[#This Row],[Salary]]</f>
        <v>1971</v>
      </c>
      <c r="K68">
        <f>_xlfn.XLOOKUP(staff[[#This Row],[Rating]],$N$30:$N$34,$O$30:$O$34)</f>
        <v>3</v>
      </c>
    </row>
    <row r="69" spans="1:11" x14ac:dyDescent="0.25">
      <c r="A69" s="10" t="s">
        <v>76</v>
      </c>
      <c r="B69" s="10" t="s">
        <v>15</v>
      </c>
      <c r="C69" s="10">
        <v>25</v>
      </c>
      <c r="D69" s="10" t="s">
        <v>16</v>
      </c>
      <c r="E69" s="12">
        <v>44383</v>
      </c>
      <c r="F69" s="10" t="s">
        <v>19</v>
      </c>
      <c r="G69" s="11">
        <v>65700</v>
      </c>
      <c r="H69" s="10" t="s">
        <v>206</v>
      </c>
      <c r="I69" s="14">
        <f ca="1">(TODAY()-staff[[#This Row],[Date Joined]])/365</f>
        <v>4.3123287671232875</v>
      </c>
      <c r="J69" s="11">
        <f ca="1">IF(staff[[#This Row],[Tenure]]&gt;2,0.03,0.02)*staff[[#This Row],[Salary]]</f>
        <v>1971</v>
      </c>
      <c r="K69">
        <f>_xlfn.XLOOKUP(staff[[#This Row],[Rating]],$N$30:$N$34,$O$30:$O$34)</f>
        <v>3</v>
      </c>
    </row>
    <row r="70" spans="1:11" x14ac:dyDescent="0.25">
      <c r="A70" s="10" t="s">
        <v>126</v>
      </c>
      <c r="B70" s="10" t="s">
        <v>8</v>
      </c>
      <c r="C70" s="10">
        <v>21</v>
      </c>
      <c r="D70" s="10" t="s">
        <v>16</v>
      </c>
      <c r="E70" s="12">
        <v>44256</v>
      </c>
      <c r="F70" s="10" t="s">
        <v>21</v>
      </c>
      <c r="G70" s="11">
        <v>65920</v>
      </c>
      <c r="H70" s="10" t="s">
        <v>207</v>
      </c>
      <c r="I70" s="14">
        <f ca="1">(TODAY()-staff[[#This Row],[Date Joined]])/365</f>
        <v>4.6602739726027398</v>
      </c>
      <c r="J70" s="11">
        <f ca="1">IF(staff[[#This Row],[Tenure]]&gt;2,0.03,0.02)*staff[[#This Row],[Salary]]</f>
        <v>1977.6</v>
      </c>
      <c r="K70">
        <f>_xlfn.XLOOKUP(staff[[#This Row],[Rating]],$N$30:$N$34,$O$30:$O$34)</f>
        <v>3</v>
      </c>
    </row>
    <row r="71" spans="1:11" x14ac:dyDescent="0.25">
      <c r="A71" s="10" t="s">
        <v>32</v>
      </c>
      <c r="B71" s="10" t="s">
        <v>8</v>
      </c>
      <c r="C71" s="10">
        <v>21</v>
      </c>
      <c r="D71" s="10" t="s">
        <v>16</v>
      </c>
      <c r="E71" s="12">
        <v>44317</v>
      </c>
      <c r="F71" s="10" t="s">
        <v>21</v>
      </c>
      <c r="G71" s="11">
        <v>65920</v>
      </c>
      <c r="H71" s="10" t="s">
        <v>206</v>
      </c>
      <c r="I71" s="14">
        <f ca="1">(TODAY()-staff[[#This Row],[Date Joined]])/365</f>
        <v>4.493150684931507</v>
      </c>
      <c r="J71" s="11">
        <f ca="1">IF(staff[[#This Row],[Tenure]]&gt;2,0.03,0.02)*staff[[#This Row],[Salary]]</f>
        <v>1977.6</v>
      </c>
      <c r="K71">
        <f>_xlfn.XLOOKUP(staff[[#This Row],[Rating]],$N$30:$N$34,$O$30:$O$34)</f>
        <v>3</v>
      </c>
    </row>
    <row r="72" spans="1:11" x14ac:dyDescent="0.25">
      <c r="A72" s="10" t="s">
        <v>121</v>
      </c>
      <c r="B72" s="10" t="s">
        <v>8</v>
      </c>
      <c r="C72" s="10">
        <v>30</v>
      </c>
      <c r="D72" s="10" t="s">
        <v>24</v>
      </c>
      <c r="E72" s="12">
        <v>44328</v>
      </c>
      <c r="F72" s="10" t="s">
        <v>21</v>
      </c>
      <c r="G72" s="11">
        <v>67910</v>
      </c>
      <c r="H72" s="10" t="s">
        <v>207</v>
      </c>
      <c r="I72" s="14">
        <f ca="1">(TODAY()-staff[[#This Row],[Date Joined]])/365</f>
        <v>4.463013698630137</v>
      </c>
      <c r="J72" s="11">
        <f ca="1">IF(staff[[#This Row],[Tenure]]&gt;2,0.03,0.02)*staff[[#This Row],[Salary]]</f>
        <v>2037.3</v>
      </c>
      <c r="K72">
        <f>_xlfn.XLOOKUP(staff[[#This Row],[Rating]],$N$30:$N$34,$O$30:$O$34)</f>
        <v>2</v>
      </c>
    </row>
    <row r="73" spans="1:11" x14ac:dyDescent="0.25">
      <c r="A73" s="10" t="s">
        <v>27</v>
      </c>
      <c r="B73" s="10" t="s">
        <v>8</v>
      </c>
      <c r="C73" s="10">
        <v>30</v>
      </c>
      <c r="D73" s="10" t="s">
        <v>24</v>
      </c>
      <c r="E73" s="12">
        <v>44389</v>
      </c>
      <c r="F73" s="10" t="s">
        <v>21</v>
      </c>
      <c r="G73" s="11">
        <v>67910</v>
      </c>
      <c r="H73" s="10" t="s">
        <v>206</v>
      </c>
      <c r="I73" s="14">
        <f ca="1">(TODAY()-staff[[#This Row],[Date Joined]])/365</f>
        <v>4.2958904109589042</v>
      </c>
      <c r="J73" s="11">
        <f ca="1">IF(staff[[#This Row],[Tenure]]&gt;2,0.03,0.02)*staff[[#This Row],[Salary]]</f>
        <v>2037.3</v>
      </c>
      <c r="K73">
        <f>_xlfn.XLOOKUP(staff[[#This Row],[Rating]],$N$30:$N$34,$O$30:$O$34)</f>
        <v>2</v>
      </c>
    </row>
    <row r="74" spans="1:11" x14ac:dyDescent="0.25">
      <c r="A74" s="10" t="s">
        <v>138</v>
      </c>
      <c r="B74" s="10" t="s">
        <v>15</v>
      </c>
      <c r="C74" s="10">
        <v>30</v>
      </c>
      <c r="D74" s="10" t="s">
        <v>16</v>
      </c>
      <c r="E74" s="12">
        <v>44640</v>
      </c>
      <c r="F74" s="10" t="s">
        <v>9</v>
      </c>
      <c r="G74" s="11">
        <v>67950</v>
      </c>
      <c r="H74" s="10" t="s">
        <v>207</v>
      </c>
      <c r="I74" s="14">
        <f ca="1">(TODAY()-staff[[#This Row],[Date Joined]])/365</f>
        <v>3.6082191780821917</v>
      </c>
      <c r="J74" s="11">
        <f ca="1">IF(staff[[#This Row],[Tenure]]&gt;2,0.03,0.02)*staff[[#This Row],[Salary]]</f>
        <v>2038.5</v>
      </c>
      <c r="K74">
        <f>_xlfn.XLOOKUP(staff[[#This Row],[Rating]],$N$30:$N$34,$O$30:$O$34)</f>
        <v>3</v>
      </c>
    </row>
    <row r="75" spans="1:11" x14ac:dyDescent="0.25">
      <c r="A75" s="10" t="s">
        <v>45</v>
      </c>
      <c r="B75" s="10" t="s">
        <v>15</v>
      </c>
      <c r="C75" s="10">
        <v>30</v>
      </c>
      <c r="D75" s="10" t="s">
        <v>16</v>
      </c>
      <c r="E75" s="12">
        <v>44701</v>
      </c>
      <c r="F75" s="10" t="s">
        <v>9</v>
      </c>
      <c r="G75" s="11">
        <v>67950</v>
      </c>
      <c r="H75" s="10" t="s">
        <v>206</v>
      </c>
      <c r="I75" s="14">
        <f ca="1">(TODAY()-staff[[#This Row],[Date Joined]])/365</f>
        <v>3.441095890410959</v>
      </c>
      <c r="J75" s="11">
        <f ca="1">IF(staff[[#This Row],[Tenure]]&gt;2,0.03,0.02)*staff[[#This Row],[Salary]]</f>
        <v>2038.5</v>
      </c>
      <c r="K75">
        <f>_xlfn.XLOOKUP(staff[[#This Row],[Rating]],$N$30:$N$34,$O$30:$O$34)</f>
        <v>3</v>
      </c>
    </row>
    <row r="76" spans="1:11" x14ac:dyDescent="0.25">
      <c r="A76" s="10" t="s">
        <v>184</v>
      </c>
      <c r="B76" s="10" t="s">
        <v>8</v>
      </c>
      <c r="C76" s="10">
        <v>20</v>
      </c>
      <c r="D76" s="10" t="s">
        <v>24</v>
      </c>
      <c r="E76" s="12">
        <v>44476</v>
      </c>
      <c r="F76" s="10" t="s">
        <v>19</v>
      </c>
      <c r="G76" s="11">
        <v>68900</v>
      </c>
      <c r="H76" s="10" t="s">
        <v>207</v>
      </c>
      <c r="I76" s="14">
        <f ca="1">(TODAY()-staff[[#This Row],[Date Joined]])/365</f>
        <v>4.0575342465753428</v>
      </c>
      <c r="J76" s="11">
        <f ca="1">IF(staff[[#This Row],[Tenure]]&gt;2,0.03,0.02)*staff[[#This Row],[Salary]]</f>
        <v>2067</v>
      </c>
      <c r="K76">
        <f>_xlfn.XLOOKUP(staff[[#This Row],[Rating]],$N$30:$N$34,$O$30:$O$34)</f>
        <v>2</v>
      </c>
    </row>
    <row r="77" spans="1:11" x14ac:dyDescent="0.25">
      <c r="A77" s="10" t="s">
        <v>91</v>
      </c>
      <c r="B77" s="10" t="s">
        <v>8</v>
      </c>
      <c r="C77" s="10">
        <v>20</v>
      </c>
      <c r="D77" s="10" t="s">
        <v>24</v>
      </c>
      <c r="E77" s="12">
        <v>44537</v>
      </c>
      <c r="F77" s="10" t="s">
        <v>19</v>
      </c>
      <c r="G77" s="11">
        <v>68900</v>
      </c>
      <c r="H77" s="10" t="s">
        <v>206</v>
      </c>
      <c r="I77" s="14">
        <f ca="1">(TODAY()-staff[[#This Row],[Date Joined]])/365</f>
        <v>3.8904109589041096</v>
      </c>
      <c r="J77" s="11">
        <f ca="1">IF(staff[[#This Row],[Tenure]]&gt;2,0.03,0.02)*staff[[#This Row],[Salary]]</f>
        <v>2067</v>
      </c>
      <c r="K77">
        <f>_xlfn.XLOOKUP(staff[[#This Row],[Rating]],$N$30:$N$34,$O$30:$O$34)</f>
        <v>2</v>
      </c>
    </row>
    <row r="78" spans="1:11" x14ac:dyDescent="0.25">
      <c r="A78" s="10" t="s">
        <v>190</v>
      </c>
      <c r="B78" s="10" t="s">
        <v>15</v>
      </c>
      <c r="C78" s="10">
        <v>37</v>
      </c>
      <c r="D78" s="10" t="s">
        <v>16</v>
      </c>
      <c r="E78" s="12">
        <v>44640</v>
      </c>
      <c r="F78" s="10" t="s">
        <v>12</v>
      </c>
      <c r="G78" s="11">
        <v>69070</v>
      </c>
      <c r="H78" s="10" t="s">
        <v>207</v>
      </c>
      <c r="I78" s="14">
        <f ca="1">(TODAY()-staff[[#This Row],[Date Joined]])/365</f>
        <v>3.6082191780821917</v>
      </c>
      <c r="J78" s="11">
        <f ca="1">IF(staff[[#This Row],[Tenure]]&gt;2,0.03,0.02)*staff[[#This Row],[Salary]]</f>
        <v>2072.1</v>
      </c>
      <c r="K78">
        <f>_xlfn.XLOOKUP(staff[[#This Row],[Rating]],$N$30:$N$34,$O$30:$O$34)</f>
        <v>3</v>
      </c>
    </row>
    <row r="79" spans="1:11" x14ac:dyDescent="0.25">
      <c r="A79" s="10" t="s">
        <v>97</v>
      </c>
      <c r="B79" s="10" t="s">
        <v>15</v>
      </c>
      <c r="C79" s="10">
        <v>37</v>
      </c>
      <c r="D79" s="10" t="s">
        <v>16</v>
      </c>
      <c r="E79" s="12">
        <v>44701</v>
      </c>
      <c r="F79" s="10" t="s">
        <v>12</v>
      </c>
      <c r="G79" s="11">
        <v>69070</v>
      </c>
      <c r="H79" s="10" t="s">
        <v>206</v>
      </c>
      <c r="I79" s="14">
        <f ca="1">(TODAY()-staff[[#This Row],[Date Joined]])/365</f>
        <v>3.441095890410959</v>
      </c>
      <c r="J79" s="11">
        <f ca="1">IF(staff[[#This Row],[Tenure]]&gt;2,0.03,0.02)*staff[[#This Row],[Salary]]</f>
        <v>2072.1</v>
      </c>
      <c r="K79">
        <f>_xlfn.XLOOKUP(staff[[#This Row],[Rating]],$N$30:$N$34,$O$30:$O$34)</f>
        <v>3</v>
      </c>
    </row>
    <row r="80" spans="1:11" x14ac:dyDescent="0.25">
      <c r="A80" s="10" t="s">
        <v>119</v>
      </c>
      <c r="B80" s="10" t="s">
        <v>15</v>
      </c>
      <c r="C80" s="10">
        <v>30</v>
      </c>
      <c r="D80" s="10" t="s">
        <v>16</v>
      </c>
      <c r="E80" s="12">
        <v>44214</v>
      </c>
      <c r="F80" s="10" t="s">
        <v>12</v>
      </c>
      <c r="G80" s="11">
        <v>69120</v>
      </c>
      <c r="H80" s="10" t="s">
        <v>207</v>
      </c>
      <c r="I80" s="14">
        <f ca="1">(TODAY()-staff[[#This Row],[Date Joined]])/365</f>
        <v>4.7753424657534245</v>
      </c>
      <c r="J80" s="11">
        <f ca="1">IF(staff[[#This Row],[Tenure]]&gt;2,0.03,0.02)*staff[[#This Row],[Salary]]</f>
        <v>2073.6</v>
      </c>
      <c r="K80">
        <f>_xlfn.XLOOKUP(staff[[#This Row],[Rating]],$N$30:$N$34,$O$30:$O$34)</f>
        <v>3</v>
      </c>
    </row>
    <row r="81" spans="1:11" x14ac:dyDescent="0.25">
      <c r="A81" s="10" t="s">
        <v>25</v>
      </c>
      <c r="B81" s="10" t="s">
        <v>15</v>
      </c>
      <c r="C81" s="10">
        <v>30</v>
      </c>
      <c r="D81" s="10" t="s">
        <v>16</v>
      </c>
      <c r="E81" s="12">
        <v>44273</v>
      </c>
      <c r="F81" s="10" t="s">
        <v>12</v>
      </c>
      <c r="G81" s="11">
        <v>69120</v>
      </c>
      <c r="H81" s="10" t="s">
        <v>206</v>
      </c>
      <c r="I81" s="14">
        <f ca="1">(TODAY()-staff[[#This Row],[Date Joined]])/365</f>
        <v>4.6136986301369864</v>
      </c>
      <c r="J81" s="11">
        <f ca="1">IF(staff[[#This Row],[Tenure]]&gt;2,0.03,0.02)*staff[[#This Row],[Salary]]</f>
        <v>2073.6</v>
      </c>
      <c r="K81">
        <f>_xlfn.XLOOKUP(staff[[#This Row],[Rating]],$N$30:$N$34,$O$30:$O$34)</f>
        <v>3</v>
      </c>
    </row>
    <row r="82" spans="1:11" x14ac:dyDescent="0.25">
      <c r="A82" s="10" t="s">
        <v>159</v>
      </c>
      <c r="B82" s="10" t="s">
        <v>15</v>
      </c>
      <c r="C82" s="10">
        <v>30</v>
      </c>
      <c r="D82" s="10" t="s">
        <v>16</v>
      </c>
      <c r="E82" s="12">
        <v>44789</v>
      </c>
      <c r="F82" s="10" t="s">
        <v>12</v>
      </c>
      <c r="G82" s="11">
        <v>69710</v>
      </c>
      <c r="H82" s="10" t="s">
        <v>207</v>
      </c>
      <c r="I82" s="14">
        <f ca="1">(TODAY()-staff[[#This Row],[Date Joined]])/365</f>
        <v>3.2</v>
      </c>
      <c r="J82" s="11">
        <f ca="1">IF(staff[[#This Row],[Tenure]]&gt;2,0.03,0.02)*staff[[#This Row],[Salary]]</f>
        <v>2091.2999999999997</v>
      </c>
      <c r="K82">
        <f>_xlfn.XLOOKUP(staff[[#This Row],[Rating]],$N$30:$N$34,$O$30:$O$34)</f>
        <v>3</v>
      </c>
    </row>
    <row r="83" spans="1:11" x14ac:dyDescent="0.25">
      <c r="A83" s="10" t="s">
        <v>67</v>
      </c>
      <c r="B83" s="10" t="s">
        <v>15</v>
      </c>
      <c r="C83" s="10">
        <v>30</v>
      </c>
      <c r="D83" s="10" t="s">
        <v>16</v>
      </c>
      <c r="E83" s="12">
        <v>44850</v>
      </c>
      <c r="F83" s="10" t="s">
        <v>12</v>
      </c>
      <c r="G83" s="11">
        <v>69710</v>
      </c>
      <c r="H83" s="10" t="s">
        <v>206</v>
      </c>
      <c r="I83" s="14">
        <f ca="1">(TODAY()-staff[[#This Row],[Date Joined]])/365</f>
        <v>3.032876712328767</v>
      </c>
      <c r="J83" s="11">
        <f ca="1">IF(staff[[#This Row],[Tenure]]&gt;2,0.03,0.02)*staff[[#This Row],[Salary]]</f>
        <v>2091.2999999999997</v>
      </c>
      <c r="K83">
        <f>_xlfn.XLOOKUP(staff[[#This Row],[Rating]],$N$30:$N$34,$O$30:$O$34)</f>
        <v>3</v>
      </c>
    </row>
    <row r="84" spans="1:11" x14ac:dyDescent="0.25">
      <c r="A84" s="10" t="s">
        <v>183</v>
      </c>
      <c r="B84" s="10" t="s">
        <v>15</v>
      </c>
      <c r="C84" s="10">
        <v>42</v>
      </c>
      <c r="D84" s="10" t="s">
        <v>24</v>
      </c>
      <c r="E84" s="12">
        <v>44670</v>
      </c>
      <c r="F84" s="10" t="s">
        <v>21</v>
      </c>
      <c r="G84" s="11">
        <v>70270</v>
      </c>
      <c r="H84" s="10" t="s">
        <v>207</v>
      </c>
      <c r="I84" s="14">
        <f ca="1">(TODAY()-staff[[#This Row],[Date Joined]])/365</f>
        <v>3.526027397260274</v>
      </c>
      <c r="J84" s="11">
        <f ca="1">IF(staff[[#This Row],[Tenure]]&gt;2,0.03,0.02)*staff[[#This Row],[Salary]]</f>
        <v>2108.1</v>
      </c>
      <c r="K84">
        <f>_xlfn.XLOOKUP(staff[[#This Row],[Rating]],$N$30:$N$34,$O$30:$O$34)</f>
        <v>2</v>
      </c>
    </row>
    <row r="85" spans="1:11" x14ac:dyDescent="0.25">
      <c r="A85" s="10" t="s">
        <v>90</v>
      </c>
      <c r="B85" s="10" t="s">
        <v>15</v>
      </c>
      <c r="C85" s="10">
        <v>42</v>
      </c>
      <c r="D85" s="10" t="s">
        <v>24</v>
      </c>
      <c r="E85" s="12">
        <v>44731</v>
      </c>
      <c r="F85" s="10" t="s">
        <v>21</v>
      </c>
      <c r="G85" s="11">
        <v>70270</v>
      </c>
      <c r="H85" s="10" t="s">
        <v>206</v>
      </c>
      <c r="I85" s="14">
        <f ca="1">(TODAY()-staff[[#This Row],[Date Joined]])/365</f>
        <v>3.3589041095890413</v>
      </c>
      <c r="J85" s="11">
        <f ca="1">IF(staff[[#This Row],[Tenure]]&gt;2,0.03,0.02)*staff[[#This Row],[Salary]]</f>
        <v>2108.1</v>
      </c>
      <c r="K85">
        <f>_xlfn.XLOOKUP(staff[[#This Row],[Rating]],$N$30:$N$34,$O$30:$O$34)</f>
        <v>2</v>
      </c>
    </row>
    <row r="86" spans="1:11" x14ac:dyDescent="0.25">
      <c r="A86" s="10" t="s">
        <v>162</v>
      </c>
      <c r="B86" s="10" t="s">
        <v>15</v>
      </c>
      <c r="C86" s="10">
        <v>46</v>
      </c>
      <c r="D86" s="10" t="s">
        <v>16</v>
      </c>
      <c r="E86" s="12">
        <v>44697</v>
      </c>
      <c r="F86" s="10" t="s">
        <v>9</v>
      </c>
      <c r="G86" s="11">
        <v>70610</v>
      </c>
      <c r="H86" s="10" t="s">
        <v>207</v>
      </c>
      <c r="I86" s="14">
        <f ca="1">(TODAY()-staff[[#This Row],[Date Joined]])/365</f>
        <v>3.452054794520548</v>
      </c>
      <c r="J86" s="11">
        <f ca="1">IF(staff[[#This Row],[Tenure]]&gt;2,0.03,0.02)*staff[[#This Row],[Salary]]</f>
        <v>2118.2999999999997</v>
      </c>
      <c r="K86">
        <f>_xlfn.XLOOKUP(staff[[#This Row],[Rating]],$N$30:$N$34,$O$30:$O$34)</f>
        <v>3</v>
      </c>
    </row>
    <row r="87" spans="1:11" x14ac:dyDescent="0.25">
      <c r="A87" s="10" t="s">
        <v>70</v>
      </c>
      <c r="B87" s="10" t="s">
        <v>15</v>
      </c>
      <c r="C87" s="10">
        <v>46</v>
      </c>
      <c r="D87" s="10" t="s">
        <v>16</v>
      </c>
      <c r="E87" s="12">
        <v>44758</v>
      </c>
      <c r="F87" s="10" t="s">
        <v>9</v>
      </c>
      <c r="G87" s="11">
        <v>70610</v>
      </c>
      <c r="H87" s="10" t="s">
        <v>206</v>
      </c>
      <c r="I87" s="14">
        <f ca="1">(TODAY()-staff[[#This Row],[Date Joined]])/365</f>
        <v>3.2849315068493152</v>
      </c>
      <c r="J87" s="11">
        <f ca="1">IF(staff[[#This Row],[Tenure]]&gt;2,0.03,0.02)*staff[[#This Row],[Salary]]</f>
        <v>2118.2999999999997</v>
      </c>
      <c r="K87">
        <f>_xlfn.XLOOKUP(staff[[#This Row],[Rating]],$N$30:$N$34,$O$30:$O$34)</f>
        <v>3</v>
      </c>
    </row>
    <row r="88" spans="1:11" x14ac:dyDescent="0.25">
      <c r="A88" s="10" t="s">
        <v>187</v>
      </c>
      <c r="B88" s="10" t="s">
        <v>15</v>
      </c>
      <c r="C88" s="10">
        <v>36</v>
      </c>
      <c r="D88" s="10" t="s">
        <v>16</v>
      </c>
      <c r="E88" s="12">
        <v>44272</v>
      </c>
      <c r="F88" s="10" t="s">
        <v>21</v>
      </c>
      <c r="G88" s="11">
        <v>71380</v>
      </c>
      <c r="H88" s="10" t="s">
        <v>207</v>
      </c>
      <c r="I88" s="14">
        <f ca="1">(TODAY()-staff[[#This Row],[Date Joined]])/365</f>
        <v>4.6164383561643838</v>
      </c>
      <c r="J88" s="11">
        <f ca="1">IF(staff[[#This Row],[Tenure]]&gt;2,0.03,0.02)*staff[[#This Row],[Salary]]</f>
        <v>2141.4</v>
      </c>
      <c r="K88">
        <f>_xlfn.XLOOKUP(staff[[#This Row],[Rating]],$N$30:$N$34,$O$30:$O$34)</f>
        <v>3</v>
      </c>
    </row>
    <row r="89" spans="1:11" x14ac:dyDescent="0.25">
      <c r="A89" s="10" t="s">
        <v>94</v>
      </c>
      <c r="B89" s="10" t="s">
        <v>15</v>
      </c>
      <c r="C89" s="10">
        <v>36</v>
      </c>
      <c r="D89" s="10" t="s">
        <v>16</v>
      </c>
      <c r="E89" s="12">
        <v>44333</v>
      </c>
      <c r="F89" s="10" t="s">
        <v>21</v>
      </c>
      <c r="G89" s="11">
        <v>71380</v>
      </c>
      <c r="H89" s="10" t="s">
        <v>206</v>
      </c>
      <c r="I89" s="14">
        <f ca="1">(TODAY()-staff[[#This Row],[Date Joined]])/365</f>
        <v>4.4493150684931511</v>
      </c>
      <c r="J89" s="11">
        <f ca="1">IF(staff[[#This Row],[Tenure]]&gt;2,0.03,0.02)*staff[[#This Row],[Salary]]</f>
        <v>2141.4</v>
      </c>
      <c r="K89">
        <f>_xlfn.XLOOKUP(staff[[#This Row],[Rating]],$N$30:$N$34,$O$30:$O$34)</f>
        <v>3</v>
      </c>
    </row>
    <row r="90" spans="1:11" x14ac:dyDescent="0.25">
      <c r="A90" s="10" t="s">
        <v>115</v>
      </c>
      <c r="B90" s="10" t="s">
        <v>15</v>
      </c>
      <c r="C90" s="10">
        <v>33</v>
      </c>
      <c r="D90" s="10" t="s">
        <v>16</v>
      </c>
      <c r="E90" s="12">
        <v>44324</v>
      </c>
      <c r="F90" s="10" t="s">
        <v>19</v>
      </c>
      <c r="G90" s="11">
        <v>74550</v>
      </c>
      <c r="H90" s="10" t="s">
        <v>207</v>
      </c>
      <c r="I90" s="14">
        <f ca="1">(TODAY()-staff[[#This Row],[Date Joined]])/365</f>
        <v>4.4739726027397264</v>
      </c>
      <c r="J90" s="11">
        <f ca="1">IF(staff[[#This Row],[Tenure]]&gt;2,0.03,0.02)*staff[[#This Row],[Salary]]</f>
        <v>2236.5</v>
      </c>
      <c r="K90">
        <f>_xlfn.XLOOKUP(staff[[#This Row],[Rating]],$N$30:$N$34,$O$30:$O$34)</f>
        <v>3</v>
      </c>
    </row>
    <row r="91" spans="1:11" x14ac:dyDescent="0.25">
      <c r="A91" s="10" t="s">
        <v>18</v>
      </c>
      <c r="B91" s="10" t="s">
        <v>15</v>
      </c>
      <c r="C91" s="10">
        <v>33</v>
      </c>
      <c r="D91" s="10" t="s">
        <v>16</v>
      </c>
      <c r="E91" s="12">
        <v>44385</v>
      </c>
      <c r="F91" s="10" t="s">
        <v>19</v>
      </c>
      <c r="G91" s="11">
        <v>74550</v>
      </c>
      <c r="H91" s="10" t="s">
        <v>206</v>
      </c>
      <c r="I91" s="14">
        <f ca="1">(TODAY()-staff[[#This Row],[Date Joined]])/365</f>
        <v>4.3068493150684928</v>
      </c>
      <c r="J91" s="11">
        <f ca="1">IF(staff[[#This Row],[Tenure]]&gt;2,0.03,0.02)*staff[[#This Row],[Salary]]</f>
        <v>2236.5</v>
      </c>
      <c r="K91">
        <f>_xlfn.XLOOKUP(staff[[#This Row],[Rating]],$N$30:$N$34,$O$30:$O$34)</f>
        <v>3</v>
      </c>
    </row>
    <row r="92" spans="1:11" x14ac:dyDescent="0.25">
      <c r="A92" s="10" t="s">
        <v>111</v>
      </c>
      <c r="B92" s="10" t="s">
        <v>8</v>
      </c>
      <c r="C92" s="10">
        <v>42</v>
      </c>
      <c r="D92" s="10" t="s">
        <v>10</v>
      </c>
      <c r="E92" s="12">
        <v>44718</v>
      </c>
      <c r="F92" s="10" t="s">
        <v>9</v>
      </c>
      <c r="G92" s="11">
        <v>75000</v>
      </c>
      <c r="H92" s="10" t="s">
        <v>207</v>
      </c>
      <c r="I92" s="14">
        <f ca="1">(TODAY()-staff[[#This Row],[Date Joined]])/365</f>
        <v>3.3945205479452056</v>
      </c>
      <c r="J92" s="11">
        <f ca="1">IF(staff[[#This Row],[Tenure]]&gt;2,0.03,0.02)*staff[[#This Row],[Salary]]</f>
        <v>2250</v>
      </c>
      <c r="K92">
        <f>_xlfn.XLOOKUP(staff[[#This Row],[Rating]],$N$30:$N$34,$O$30:$O$34)</f>
        <v>5</v>
      </c>
    </row>
    <row r="93" spans="1:11" x14ac:dyDescent="0.25">
      <c r="A93" s="10" t="s">
        <v>7</v>
      </c>
      <c r="B93" s="10" t="s">
        <v>8</v>
      </c>
      <c r="C93" s="10">
        <v>42</v>
      </c>
      <c r="D93" s="10" t="s">
        <v>10</v>
      </c>
      <c r="E93" s="12">
        <v>44779</v>
      </c>
      <c r="F93" s="10" t="s">
        <v>9</v>
      </c>
      <c r="G93" s="11">
        <v>75000</v>
      </c>
      <c r="H93" s="10" t="s">
        <v>206</v>
      </c>
      <c r="I93" s="14">
        <f ca="1">(TODAY()-staff[[#This Row],[Date Joined]])/365</f>
        <v>3.2273972602739724</v>
      </c>
      <c r="J93" s="11">
        <f ca="1">IF(staff[[#This Row],[Tenure]]&gt;2,0.03,0.02)*staff[[#This Row],[Salary]]</f>
        <v>2250</v>
      </c>
      <c r="K93">
        <f>_xlfn.XLOOKUP(staff[[#This Row],[Rating]],$N$30:$N$34,$O$30:$O$34)</f>
        <v>5</v>
      </c>
    </row>
    <row r="94" spans="1:11" x14ac:dyDescent="0.25">
      <c r="A94" s="10" t="s">
        <v>188</v>
      </c>
      <c r="B94" s="10" t="s">
        <v>8</v>
      </c>
      <c r="C94" s="10">
        <v>33</v>
      </c>
      <c r="D94" s="10" t="s">
        <v>16</v>
      </c>
      <c r="E94" s="12">
        <v>44253</v>
      </c>
      <c r="F94" s="10" t="s">
        <v>12</v>
      </c>
      <c r="G94" s="11">
        <v>75280</v>
      </c>
      <c r="H94" s="10" t="s">
        <v>207</v>
      </c>
      <c r="I94" s="14">
        <f ca="1">(TODAY()-staff[[#This Row],[Date Joined]])/365</f>
        <v>4.6684931506849319</v>
      </c>
      <c r="J94" s="11">
        <f ca="1">IF(staff[[#This Row],[Tenure]]&gt;2,0.03,0.02)*staff[[#This Row],[Salary]]</f>
        <v>2258.4</v>
      </c>
      <c r="K94">
        <f>_xlfn.XLOOKUP(staff[[#This Row],[Rating]],$N$30:$N$34,$O$30:$O$34)</f>
        <v>3</v>
      </c>
    </row>
    <row r="95" spans="1:11" x14ac:dyDescent="0.25">
      <c r="A95" s="10" t="s">
        <v>95</v>
      </c>
      <c r="B95" s="10" t="s">
        <v>8</v>
      </c>
      <c r="C95" s="10">
        <v>33</v>
      </c>
      <c r="D95" s="10" t="s">
        <v>16</v>
      </c>
      <c r="E95" s="12">
        <v>44312</v>
      </c>
      <c r="F95" s="10" t="s">
        <v>12</v>
      </c>
      <c r="G95" s="11">
        <v>75280</v>
      </c>
      <c r="H95" s="10" t="s">
        <v>206</v>
      </c>
      <c r="I95" s="14">
        <f ca="1">(TODAY()-staff[[#This Row],[Date Joined]])/365</f>
        <v>4.506849315068493</v>
      </c>
      <c r="J95" s="11">
        <f ca="1">IF(staff[[#This Row],[Tenure]]&gt;2,0.03,0.02)*staff[[#This Row],[Salary]]</f>
        <v>2258.4</v>
      </c>
      <c r="K95">
        <f>_xlfn.XLOOKUP(staff[[#This Row],[Rating]],$N$30:$N$34,$O$30:$O$34)</f>
        <v>3</v>
      </c>
    </row>
    <row r="96" spans="1:11" x14ac:dyDescent="0.25">
      <c r="A96" s="10" t="s">
        <v>135</v>
      </c>
      <c r="B96" s="10" t="s">
        <v>8</v>
      </c>
      <c r="C96" s="10">
        <v>33</v>
      </c>
      <c r="D96" s="10" t="s">
        <v>42</v>
      </c>
      <c r="E96" s="12">
        <v>44313</v>
      </c>
      <c r="F96" s="10" t="s">
        <v>12</v>
      </c>
      <c r="G96" s="11">
        <v>75480</v>
      </c>
      <c r="H96" s="10" t="s">
        <v>207</v>
      </c>
      <c r="I96" s="14">
        <f ca="1">(TODAY()-staff[[#This Row],[Date Joined]])/365</f>
        <v>4.5041095890410956</v>
      </c>
      <c r="J96" s="11">
        <f ca="1">IF(staff[[#This Row],[Tenure]]&gt;2,0.03,0.02)*staff[[#This Row],[Salary]]</f>
        <v>2264.4</v>
      </c>
      <c r="K96">
        <f>_xlfn.XLOOKUP(staff[[#This Row],[Rating]],$N$30:$N$34,$O$30:$O$34)</f>
        <v>1</v>
      </c>
    </row>
    <row r="97" spans="1:11" x14ac:dyDescent="0.25">
      <c r="A97" s="10" t="s">
        <v>41</v>
      </c>
      <c r="B97" s="10" t="s">
        <v>8</v>
      </c>
      <c r="C97" s="10">
        <v>33</v>
      </c>
      <c r="D97" s="10" t="s">
        <v>42</v>
      </c>
      <c r="E97" s="12">
        <v>44374</v>
      </c>
      <c r="F97" s="10" t="s">
        <v>12</v>
      </c>
      <c r="G97" s="11">
        <v>75480</v>
      </c>
      <c r="H97" s="10" t="s">
        <v>206</v>
      </c>
      <c r="I97" s="14">
        <f ca="1">(TODAY()-staff[[#This Row],[Date Joined]])/365</f>
        <v>4.3369863013698629</v>
      </c>
      <c r="J97" s="11">
        <f ca="1">IF(staff[[#This Row],[Tenure]]&gt;2,0.03,0.02)*staff[[#This Row],[Salary]]</f>
        <v>2264.4</v>
      </c>
      <c r="K97">
        <f>_xlfn.XLOOKUP(staff[[#This Row],[Rating]],$N$30:$N$34,$O$30:$O$34)</f>
        <v>1</v>
      </c>
    </row>
    <row r="98" spans="1:11" x14ac:dyDescent="0.25">
      <c r="A98" s="10" t="s">
        <v>170</v>
      </c>
      <c r="B98" s="10" t="s">
        <v>15</v>
      </c>
      <c r="C98" s="10">
        <v>21</v>
      </c>
      <c r="D98" s="10" t="s">
        <v>16</v>
      </c>
      <c r="E98" s="12">
        <v>44180</v>
      </c>
      <c r="F98" s="10" t="s">
        <v>56</v>
      </c>
      <c r="G98" s="11">
        <v>75880</v>
      </c>
      <c r="H98" s="10" t="s">
        <v>207</v>
      </c>
      <c r="I98" s="14">
        <f ca="1">(TODAY()-staff[[#This Row],[Date Joined]])/365</f>
        <v>4.8684931506849312</v>
      </c>
      <c r="J98" s="11">
        <f ca="1">IF(staff[[#This Row],[Tenure]]&gt;2,0.03,0.02)*staff[[#This Row],[Salary]]</f>
        <v>2276.4</v>
      </c>
      <c r="K98">
        <f>_xlfn.XLOOKUP(staff[[#This Row],[Rating]],$N$30:$N$34,$O$30:$O$34)</f>
        <v>3</v>
      </c>
    </row>
    <row r="99" spans="1:11" x14ac:dyDescent="0.25">
      <c r="A99" s="10" t="s">
        <v>78</v>
      </c>
      <c r="B99" s="10" t="s">
        <v>15</v>
      </c>
      <c r="C99" s="10">
        <v>21</v>
      </c>
      <c r="D99" s="10" t="s">
        <v>16</v>
      </c>
      <c r="E99" s="12">
        <v>44242</v>
      </c>
      <c r="F99" s="10" t="s">
        <v>56</v>
      </c>
      <c r="G99" s="11">
        <v>75880</v>
      </c>
      <c r="H99" s="10" t="s">
        <v>206</v>
      </c>
      <c r="I99" s="14">
        <f ca="1">(TODAY()-staff[[#This Row],[Date Joined]])/365</f>
        <v>4.6986301369863011</v>
      </c>
      <c r="J99" s="11">
        <f ca="1">IF(staff[[#This Row],[Tenure]]&gt;2,0.03,0.02)*staff[[#This Row],[Salary]]</f>
        <v>2276.4</v>
      </c>
      <c r="K99">
        <f>_xlfn.XLOOKUP(staff[[#This Row],[Rating]],$N$30:$N$34,$O$30:$O$34)</f>
        <v>3</v>
      </c>
    </row>
    <row r="100" spans="1:11" x14ac:dyDescent="0.25">
      <c r="A100" s="10" t="s">
        <v>129</v>
      </c>
      <c r="B100" s="10" t="s">
        <v>8</v>
      </c>
      <c r="C100" s="10">
        <v>28</v>
      </c>
      <c r="D100" s="10" t="s">
        <v>16</v>
      </c>
      <c r="E100" s="12">
        <v>44124</v>
      </c>
      <c r="F100" s="10" t="s">
        <v>21</v>
      </c>
      <c r="G100" s="11">
        <v>75970</v>
      </c>
      <c r="H100" s="10" t="s">
        <v>207</v>
      </c>
      <c r="I100" s="14">
        <f ca="1">(TODAY()-staff[[#This Row],[Date Joined]])/365</f>
        <v>5.021917808219178</v>
      </c>
      <c r="J100" s="11">
        <f ca="1">IF(staff[[#This Row],[Tenure]]&gt;2,0.03,0.02)*staff[[#This Row],[Salary]]</f>
        <v>2279.1</v>
      </c>
      <c r="K100">
        <f>_xlfn.XLOOKUP(staff[[#This Row],[Rating]],$N$30:$N$34,$O$30:$O$34)</f>
        <v>3</v>
      </c>
    </row>
    <row r="101" spans="1:11" x14ac:dyDescent="0.25">
      <c r="A101" s="10" t="s">
        <v>35</v>
      </c>
      <c r="B101" s="10" t="s">
        <v>8</v>
      </c>
      <c r="C101" s="10">
        <v>28</v>
      </c>
      <c r="D101" s="10" t="s">
        <v>16</v>
      </c>
      <c r="E101" s="12">
        <v>44185</v>
      </c>
      <c r="F101" s="10" t="s">
        <v>21</v>
      </c>
      <c r="G101" s="11">
        <v>75970</v>
      </c>
      <c r="H101" s="10" t="s">
        <v>206</v>
      </c>
      <c r="I101" s="14">
        <f ca="1">(TODAY()-staff[[#This Row],[Date Joined]])/365</f>
        <v>4.8547945205479452</v>
      </c>
      <c r="J101" s="11">
        <f ca="1">IF(staff[[#This Row],[Tenure]]&gt;2,0.03,0.02)*staff[[#This Row],[Salary]]</f>
        <v>2279.1</v>
      </c>
      <c r="K101">
        <f>_xlfn.XLOOKUP(staff[[#This Row],[Rating]],$N$30:$N$34,$O$30:$O$34)</f>
        <v>3</v>
      </c>
    </row>
    <row r="102" spans="1:11" x14ac:dyDescent="0.25">
      <c r="A102" s="10" t="s">
        <v>154</v>
      </c>
      <c r="B102" s="10" t="s">
        <v>8</v>
      </c>
      <c r="C102" s="10">
        <v>22</v>
      </c>
      <c r="D102" s="10" t="s">
        <v>13</v>
      </c>
      <c r="E102" s="12">
        <v>44388</v>
      </c>
      <c r="F102" s="10" t="s">
        <v>9</v>
      </c>
      <c r="G102" s="11">
        <v>76900</v>
      </c>
      <c r="H102" s="10" t="s">
        <v>207</v>
      </c>
      <c r="I102" s="14">
        <f ca="1">(TODAY()-staff[[#This Row],[Date Joined]])/365</f>
        <v>4.2986301369863016</v>
      </c>
      <c r="J102" s="11">
        <f ca="1">IF(staff[[#This Row],[Tenure]]&gt;2,0.03,0.02)*staff[[#This Row],[Salary]]</f>
        <v>2307</v>
      </c>
      <c r="K102">
        <f>_xlfn.XLOOKUP(staff[[#This Row],[Rating]],$N$30:$N$34,$O$30:$O$34)</f>
        <v>4</v>
      </c>
    </row>
    <row r="103" spans="1:11" x14ac:dyDescent="0.25">
      <c r="A103" s="10" t="s">
        <v>62</v>
      </c>
      <c r="B103" s="10" t="s">
        <v>8</v>
      </c>
      <c r="C103" s="10">
        <v>22</v>
      </c>
      <c r="D103" s="10" t="s">
        <v>13</v>
      </c>
      <c r="E103" s="12">
        <v>44450</v>
      </c>
      <c r="F103" s="10" t="s">
        <v>9</v>
      </c>
      <c r="G103" s="11">
        <v>76900</v>
      </c>
      <c r="H103" s="10" t="s">
        <v>206</v>
      </c>
      <c r="I103" s="14">
        <f ca="1">(TODAY()-staff[[#This Row],[Date Joined]])/365</f>
        <v>4.1287671232876715</v>
      </c>
      <c r="J103" s="11">
        <f ca="1">IF(staff[[#This Row],[Tenure]]&gt;2,0.03,0.02)*staff[[#This Row],[Salary]]</f>
        <v>2307</v>
      </c>
      <c r="K103">
        <f>_xlfn.XLOOKUP(staff[[#This Row],[Rating]],$N$30:$N$34,$O$30:$O$34)</f>
        <v>4</v>
      </c>
    </row>
    <row r="104" spans="1:11" x14ac:dyDescent="0.25">
      <c r="A104" s="10" t="s">
        <v>164</v>
      </c>
      <c r="B104" s="10" t="s">
        <v>8</v>
      </c>
      <c r="C104" s="10">
        <v>36</v>
      </c>
      <c r="D104" s="10" t="s">
        <v>16</v>
      </c>
      <c r="E104" s="12">
        <v>44468</v>
      </c>
      <c r="F104" s="10" t="s">
        <v>9</v>
      </c>
      <c r="G104" s="11">
        <v>78390</v>
      </c>
      <c r="H104" s="10" t="s">
        <v>207</v>
      </c>
      <c r="I104" s="14">
        <f ca="1">(TODAY()-staff[[#This Row],[Date Joined]])/365</f>
        <v>4.0794520547945208</v>
      </c>
      <c r="J104" s="11">
        <f ca="1">IF(staff[[#This Row],[Tenure]]&gt;2,0.03,0.02)*staff[[#This Row],[Salary]]</f>
        <v>2351.6999999999998</v>
      </c>
      <c r="K104">
        <f>_xlfn.XLOOKUP(staff[[#This Row],[Rating]],$N$30:$N$34,$O$30:$O$34)</f>
        <v>3</v>
      </c>
    </row>
    <row r="105" spans="1:11" x14ac:dyDescent="0.25">
      <c r="A105" s="10" t="s">
        <v>72</v>
      </c>
      <c r="B105" s="10" t="s">
        <v>8</v>
      </c>
      <c r="C105" s="10">
        <v>36</v>
      </c>
      <c r="D105" s="10" t="s">
        <v>16</v>
      </c>
      <c r="E105" s="12">
        <v>44529</v>
      </c>
      <c r="F105" s="10" t="s">
        <v>9</v>
      </c>
      <c r="G105" s="11">
        <v>78390</v>
      </c>
      <c r="H105" s="10" t="s">
        <v>206</v>
      </c>
      <c r="I105" s="14">
        <f ca="1">(TODAY()-staff[[#This Row],[Date Joined]])/365</f>
        <v>3.9123287671232876</v>
      </c>
      <c r="J105" s="11">
        <f ca="1">IF(staff[[#This Row],[Tenure]]&gt;2,0.03,0.02)*staff[[#This Row],[Salary]]</f>
        <v>2351.6999999999998</v>
      </c>
      <c r="K105">
        <f>_xlfn.XLOOKUP(staff[[#This Row],[Rating]],$N$30:$N$34,$O$30:$O$34)</f>
        <v>3</v>
      </c>
    </row>
    <row r="106" spans="1:11" x14ac:dyDescent="0.25">
      <c r="A106" s="10" t="s">
        <v>141</v>
      </c>
      <c r="B106" s="10" t="s">
        <v>8</v>
      </c>
      <c r="C106" s="10">
        <v>36</v>
      </c>
      <c r="D106" s="10" t="s">
        <v>16</v>
      </c>
      <c r="E106" s="12">
        <v>44433</v>
      </c>
      <c r="F106" s="10" t="s">
        <v>19</v>
      </c>
      <c r="G106" s="11">
        <v>78540</v>
      </c>
      <c r="H106" s="10" t="s">
        <v>207</v>
      </c>
      <c r="I106" s="14">
        <f ca="1">(TODAY()-staff[[#This Row],[Date Joined]])/365</f>
        <v>4.1753424657534248</v>
      </c>
      <c r="J106" s="11">
        <f ca="1">IF(staff[[#This Row],[Tenure]]&gt;2,0.03,0.02)*staff[[#This Row],[Salary]]</f>
        <v>2356.1999999999998</v>
      </c>
      <c r="K106">
        <f>_xlfn.XLOOKUP(staff[[#This Row],[Rating]],$N$30:$N$34,$O$30:$O$34)</f>
        <v>3</v>
      </c>
    </row>
    <row r="107" spans="1:11" x14ac:dyDescent="0.25">
      <c r="A107" s="10" t="s">
        <v>48</v>
      </c>
      <c r="B107" s="10" t="s">
        <v>8</v>
      </c>
      <c r="C107" s="10">
        <v>36</v>
      </c>
      <c r="D107" s="10" t="s">
        <v>16</v>
      </c>
      <c r="E107" s="12">
        <v>44494</v>
      </c>
      <c r="F107" s="10" t="s">
        <v>19</v>
      </c>
      <c r="G107" s="11">
        <v>78540</v>
      </c>
      <c r="H107" s="10" t="s">
        <v>206</v>
      </c>
      <c r="I107" s="14">
        <f ca="1">(TODAY()-staff[[#This Row],[Date Joined]])/365</f>
        <v>4.0082191780821921</v>
      </c>
      <c r="J107" s="11">
        <f ca="1">IF(staff[[#This Row],[Tenure]]&gt;2,0.03,0.02)*staff[[#This Row],[Salary]]</f>
        <v>2356.1999999999998</v>
      </c>
      <c r="K107">
        <f>_xlfn.XLOOKUP(staff[[#This Row],[Rating]],$N$30:$N$34,$O$30:$O$34)</f>
        <v>3</v>
      </c>
    </row>
    <row r="108" spans="1:11" x14ac:dyDescent="0.25">
      <c r="A108" s="10" t="s">
        <v>197</v>
      </c>
      <c r="B108" s="10" t="s">
        <v>15</v>
      </c>
      <c r="C108" s="10">
        <v>20</v>
      </c>
      <c r="D108" s="10" t="s">
        <v>16</v>
      </c>
      <c r="E108" s="12">
        <v>44683</v>
      </c>
      <c r="F108" s="10" t="s">
        <v>9</v>
      </c>
      <c r="G108" s="11">
        <v>79570</v>
      </c>
      <c r="H108" s="10" t="s">
        <v>207</v>
      </c>
      <c r="I108" s="14">
        <f ca="1">(TODAY()-staff[[#This Row],[Date Joined]])/365</f>
        <v>3.4904109589041097</v>
      </c>
      <c r="J108" s="11">
        <f ca="1">IF(staff[[#This Row],[Tenure]]&gt;2,0.03,0.02)*staff[[#This Row],[Salary]]</f>
        <v>2387.1</v>
      </c>
      <c r="K108">
        <f>_xlfn.XLOOKUP(staff[[#This Row],[Rating]],$N$30:$N$34,$O$30:$O$34)</f>
        <v>3</v>
      </c>
    </row>
    <row r="109" spans="1:11" x14ac:dyDescent="0.25">
      <c r="A109" s="10" t="s">
        <v>104</v>
      </c>
      <c r="B109" s="10" t="s">
        <v>15</v>
      </c>
      <c r="C109" s="10">
        <v>20</v>
      </c>
      <c r="D109" s="10" t="s">
        <v>16</v>
      </c>
      <c r="E109" s="12">
        <v>44744</v>
      </c>
      <c r="F109" s="10" t="s">
        <v>9</v>
      </c>
      <c r="G109" s="11">
        <v>79570</v>
      </c>
      <c r="H109" s="10" t="s">
        <v>206</v>
      </c>
      <c r="I109" s="14">
        <f ca="1">(TODAY()-staff[[#This Row],[Date Joined]])/365</f>
        <v>3.3232876712328765</v>
      </c>
      <c r="J109" s="11">
        <f ca="1">IF(staff[[#This Row],[Tenure]]&gt;2,0.03,0.02)*staff[[#This Row],[Salary]]</f>
        <v>2387.1</v>
      </c>
      <c r="K109">
        <f>_xlfn.XLOOKUP(staff[[#This Row],[Rating]],$N$30:$N$34,$O$30:$O$34)</f>
        <v>3</v>
      </c>
    </row>
    <row r="110" spans="1:11" x14ac:dyDescent="0.25">
      <c r="A110" s="10" t="s">
        <v>133</v>
      </c>
      <c r="B110" s="10" t="s">
        <v>8</v>
      </c>
      <c r="C110" s="10">
        <v>25</v>
      </c>
      <c r="D110" s="10" t="s">
        <v>13</v>
      </c>
      <c r="E110" s="12">
        <v>44633</v>
      </c>
      <c r="F110" s="10" t="s">
        <v>12</v>
      </c>
      <c r="G110" s="11">
        <v>80700</v>
      </c>
      <c r="H110" s="10" t="s">
        <v>207</v>
      </c>
      <c r="I110" s="14">
        <f ca="1">(TODAY()-staff[[#This Row],[Date Joined]])/365</f>
        <v>3.6273972602739728</v>
      </c>
      <c r="J110" s="11">
        <f ca="1">IF(staff[[#This Row],[Tenure]]&gt;2,0.03,0.02)*staff[[#This Row],[Salary]]</f>
        <v>2421</v>
      </c>
      <c r="K110">
        <f>_xlfn.XLOOKUP(staff[[#This Row],[Rating]],$N$30:$N$34,$O$30:$O$34)</f>
        <v>4</v>
      </c>
    </row>
    <row r="111" spans="1:11" x14ac:dyDescent="0.25">
      <c r="A111" s="10" t="s">
        <v>39</v>
      </c>
      <c r="B111" s="10" t="s">
        <v>8</v>
      </c>
      <c r="C111" s="10">
        <v>25</v>
      </c>
      <c r="D111" s="10" t="s">
        <v>13</v>
      </c>
      <c r="E111" s="12">
        <v>44694</v>
      </c>
      <c r="F111" s="10" t="s">
        <v>12</v>
      </c>
      <c r="G111" s="11">
        <v>80700</v>
      </c>
      <c r="H111" s="10" t="s">
        <v>206</v>
      </c>
      <c r="I111" s="14">
        <f ca="1">(TODAY()-staff[[#This Row],[Date Joined]])/365</f>
        <v>3.4602739726027396</v>
      </c>
      <c r="J111" s="11">
        <f ca="1">IF(staff[[#This Row],[Tenure]]&gt;2,0.03,0.02)*staff[[#This Row],[Salary]]</f>
        <v>2421</v>
      </c>
      <c r="K111">
        <f>_xlfn.XLOOKUP(staff[[#This Row],[Rating]],$N$30:$N$34,$O$30:$O$34)</f>
        <v>4</v>
      </c>
    </row>
    <row r="112" spans="1:11" x14ac:dyDescent="0.25">
      <c r="A112" s="10" t="s">
        <v>185</v>
      </c>
      <c r="B112" s="10" t="s">
        <v>8</v>
      </c>
      <c r="C112" s="10">
        <v>27</v>
      </c>
      <c r="D112" s="10" t="s">
        <v>16</v>
      </c>
      <c r="E112" s="12">
        <v>44625</v>
      </c>
      <c r="F112" s="10" t="s">
        <v>12</v>
      </c>
      <c r="G112" s="11">
        <v>83750</v>
      </c>
      <c r="H112" s="10" t="s">
        <v>207</v>
      </c>
      <c r="I112" s="14">
        <f ca="1">(TODAY()-staff[[#This Row],[Date Joined]])/365</f>
        <v>3.6493150684931508</v>
      </c>
      <c r="J112" s="11">
        <f ca="1">IF(staff[[#This Row],[Tenure]]&gt;2,0.03,0.02)*staff[[#This Row],[Salary]]</f>
        <v>2512.5</v>
      </c>
      <c r="K112">
        <f>_xlfn.XLOOKUP(staff[[#This Row],[Rating]],$N$30:$N$34,$O$30:$O$34)</f>
        <v>3</v>
      </c>
    </row>
    <row r="113" spans="1:11" x14ac:dyDescent="0.25">
      <c r="A113" s="10" t="s">
        <v>92</v>
      </c>
      <c r="B113" s="10" t="s">
        <v>8</v>
      </c>
      <c r="C113" s="10">
        <v>27</v>
      </c>
      <c r="D113" s="10" t="s">
        <v>16</v>
      </c>
      <c r="E113" s="12">
        <v>44686</v>
      </c>
      <c r="F113" s="10" t="s">
        <v>12</v>
      </c>
      <c r="G113" s="11">
        <v>83750</v>
      </c>
      <c r="H113" s="10" t="s">
        <v>206</v>
      </c>
      <c r="I113" s="14">
        <f ca="1">(TODAY()-staff[[#This Row],[Date Joined]])/365</f>
        <v>3.4821917808219176</v>
      </c>
      <c r="J113" s="11">
        <f ca="1">IF(staff[[#This Row],[Tenure]]&gt;2,0.03,0.02)*staff[[#This Row],[Salary]]</f>
        <v>2512.5</v>
      </c>
      <c r="K113">
        <f>_xlfn.XLOOKUP(staff[[#This Row],[Rating]],$N$30:$N$34,$O$30:$O$34)</f>
        <v>3</v>
      </c>
    </row>
    <row r="114" spans="1:11" x14ac:dyDescent="0.25">
      <c r="A114" s="10" t="s">
        <v>122</v>
      </c>
      <c r="B114" s="10" t="s">
        <v>8</v>
      </c>
      <c r="C114" s="10">
        <v>34</v>
      </c>
      <c r="D114" s="10" t="s">
        <v>16</v>
      </c>
      <c r="E114" s="12">
        <v>44397</v>
      </c>
      <c r="F114" s="10" t="s">
        <v>21</v>
      </c>
      <c r="G114" s="11">
        <v>85000</v>
      </c>
      <c r="H114" s="10" t="s">
        <v>207</v>
      </c>
      <c r="I114" s="14">
        <f ca="1">(TODAY()-staff[[#This Row],[Date Joined]])/365</f>
        <v>4.2739726027397262</v>
      </c>
      <c r="J114" s="11">
        <f ca="1">IF(staff[[#This Row],[Tenure]]&gt;2,0.03,0.02)*staff[[#This Row],[Salary]]</f>
        <v>2550</v>
      </c>
      <c r="K114">
        <f>_xlfn.XLOOKUP(staff[[#This Row],[Rating]],$N$30:$N$34,$O$30:$O$34)</f>
        <v>3</v>
      </c>
    </row>
    <row r="115" spans="1:11" x14ac:dyDescent="0.25">
      <c r="A115" s="10" t="s">
        <v>28</v>
      </c>
      <c r="B115" s="10" t="s">
        <v>8</v>
      </c>
      <c r="C115" s="10">
        <v>34</v>
      </c>
      <c r="D115" s="10" t="s">
        <v>16</v>
      </c>
      <c r="E115" s="12">
        <v>44459</v>
      </c>
      <c r="F115" s="10" t="s">
        <v>21</v>
      </c>
      <c r="G115" s="11">
        <v>85000</v>
      </c>
      <c r="H115" s="10" t="s">
        <v>206</v>
      </c>
      <c r="I115" s="14">
        <f ca="1">(TODAY()-staff[[#This Row],[Date Joined]])/365</f>
        <v>4.1041095890410961</v>
      </c>
      <c r="J115" s="11">
        <f ca="1">IF(staff[[#This Row],[Tenure]]&gt;2,0.03,0.02)*staff[[#This Row],[Salary]]</f>
        <v>2550</v>
      </c>
      <c r="K115">
        <f>_xlfn.XLOOKUP(staff[[#This Row],[Rating]],$N$30:$N$34,$O$30:$O$34)</f>
        <v>3</v>
      </c>
    </row>
    <row r="116" spans="1:11" x14ac:dyDescent="0.25">
      <c r="A116" s="10" t="s">
        <v>181</v>
      </c>
      <c r="B116" s="10" t="s">
        <v>8</v>
      </c>
      <c r="C116" s="10">
        <v>33</v>
      </c>
      <c r="D116" s="10" t="s">
        <v>16</v>
      </c>
      <c r="E116" s="12">
        <v>44747</v>
      </c>
      <c r="F116" s="10" t="s">
        <v>21</v>
      </c>
      <c r="G116" s="11">
        <v>86570</v>
      </c>
      <c r="H116" s="10" t="s">
        <v>207</v>
      </c>
      <c r="I116" s="14">
        <f ca="1">(TODAY()-staff[[#This Row],[Date Joined]])/365</f>
        <v>3.3150684931506849</v>
      </c>
      <c r="J116" s="11">
        <f ca="1">IF(staff[[#This Row],[Tenure]]&gt;2,0.03,0.02)*staff[[#This Row],[Salary]]</f>
        <v>2597.1</v>
      </c>
      <c r="K116">
        <f>_xlfn.XLOOKUP(staff[[#This Row],[Rating]],$N$30:$N$34,$O$30:$O$34)</f>
        <v>3</v>
      </c>
    </row>
    <row r="117" spans="1:11" x14ac:dyDescent="0.25">
      <c r="A117" s="10" t="s">
        <v>88</v>
      </c>
      <c r="B117" s="10" t="s">
        <v>8</v>
      </c>
      <c r="C117" s="10">
        <v>33</v>
      </c>
      <c r="D117" s="10" t="s">
        <v>16</v>
      </c>
      <c r="E117" s="12">
        <v>44809</v>
      </c>
      <c r="F117" s="10" t="s">
        <v>21</v>
      </c>
      <c r="G117" s="11">
        <v>86570</v>
      </c>
      <c r="H117" s="10" t="s">
        <v>206</v>
      </c>
      <c r="I117" s="14">
        <f ca="1">(TODAY()-staff[[#This Row],[Date Joined]])/365</f>
        <v>3.1452054794520548</v>
      </c>
      <c r="J117" s="11">
        <f ca="1">IF(staff[[#This Row],[Tenure]]&gt;2,0.03,0.02)*staff[[#This Row],[Salary]]</f>
        <v>2597.1</v>
      </c>
      <c r="K117">
        <f>_xlfn.XLOOKUP(staff[[#This Row],[Rating]],$N$30:$N$34,$O$30:$O$34)</f>
        <v>3</v>
      </c>
    </row>
    <row r="118" spans="1:11" x14ac:dyDescent="0.25">
      <c r="A118" s="10" t="s">
        <v>166</v>
      </c>
      <c r="B118" s="10" t="s">
        <v>8</v>
      </c>
      <c r="C118" s="10">
        <v>40</v>
      </c>
      <c r="D118" s="10" t="s">
        <v>16</v>
      </c>
      <c r="E118" s="12">
        <v>44276</v>
      </c>
      <c r="F118" s="10" t="s">
        <v>12</v>
      </c>
      <c r="G118" s="11">
        <v>87620</v>
      </c>
      <c r="H118" s="10" t="s">
        <v>207</v>
      </c>
      <c r="I118" s="14">
        <f ca="1">(TODAY()-staff[[#This Row],[Date Joined]])/365</f>
        <v>4.6054794520547944</v>
      </c>
      <c r="J118" s="11">
        <f ca="1">IF(staff[[#This Row],[Tenure]]&gt;2,0.03,0.02)*staff[[#This Row],[Salary]]</f>
        <v>2628.6</v>
      </c>
      <c r="K118">
        <f>_xlfn.XLOOKUP(staff[[#This Row],[Rating]],$N$30:$N$34,$O$30:$O$34)</f>
        <v>3</v>
      </c>
    </row>
    <row r="119" spans="1:11" x14ac:dyDescent="0.25">
      <c r="A119" s="10" t="s">
        <v>74</v>
      </c>
      <c r="B119" s="10" t="s">
        <v>8</v>
      </c>
      <c r="C119" s="10">
        <v>40</v>
      </c>
      <c r="D119" s="10" t="s">
        <v>16</v>
      </c>
      <c r="E119" s="12">
        <v>44337</v>
      </c>
      <c r="F119" s="10" t="s">
        <v>12</v>
      </c>
      <c r="G119" s="11">
        <v>87620</v>
      </c>
      <c r="H119" s="10" t="s">
        <v>206</v>
      </c>
      <c r="I119" s="14">
        <f ca="1">(TODAY()-staff[[#This Row],[Date Joined]])/365</f>
        <v>4.4383561643835616</v>
      </c>
      <c r="J119" s="11">
        <f ca="1">IF(staff[[#This Row],[Tenure]]&gt;2,0.03,0.02)*staff[[#This Row],[Salary]]</f>
        <v>2628.6</v>
      </c>
      <c r="K119">
        <f>_xlfn.XLOOKUP(staff[[#This Row],[Rating]],$N$30:$N$34,$O$30:$O$34)</f>
        <v>3</v>
      </c>
    </row>
    <row r="120" spans="1:11" x14ac:dyDescent="0.25">
      <c r="A120" s="10" t="s">
        <v>118</v>
      </c>
      <c r="B120" s="10" t="s">
        <v>15</v>
      </c>
      <c r="C120" s="10">
        <v>37</v>
      </c>
      <c r="D120" s="10" t="s">
        <v>24</v>
      </c>
      <c r="E120" s="12">
        <v>44277</v>
      </c>
      <c r="F120" s="10" t="s">
        <v>12</v>
      </c>
      <c r="G120" s="11">
        <v>88050</v>
      </c>
      <c r="H120" s="10" t="s">
        <v>207</v>
      </c>
      <c r="I120" s="14">
        <f ca="1">(TODAY()-staff[[#This Row],[Date Joined]])/365</f>
        <v>4.602739726027397</v>
      </c>
      <c r="J120" s="11">
        <f ca="1">IF(staff[[#This Row],[Tenure]]&gt;2,0.03,0.02)*staff[[#This Row],[Salary]]</f>
        <v>2641.5</v>
      </c>
      <c r="K120">
        <f>_xlfn.XLOOKUP(staff[[#This Row],[Rating]],$N$30:$N$34,$O$30:$O$34)</f>
        <v>2</v>
      </c>
    </row>
    <row r="121" spans="1:11" x14ac:dyDescent="0.25">
      <c r="A121" s="10" t="s">
        <v>23</v>
      </c>
      <c r="B121" s="10" t="s">
        <v>15</v>
      </c>
      <c r="C121" s="10">
        <v>37</v>
      </c>
      <c r="D121" s="10" t="s">
        <v>24</v>
      </c>
      <c r="E121" s="12">
        <v>44338</v>
      </c>
      <c r="F121" s="10" t="s">
        <v>12</v>
      </c>
      <c r="G121" s="11">
        <v>88050</v>
      </c>
      <c r="H121" s="10" t="s">
        <v>206</v>
      </c>
      <c r="I121" s="14">
        <f ca="1">(TODAY()-staff[[#This Row],[Date Joined]])/365</f>
        <v>4.4356164383561643</v>
      </c>
      <c r="J121" s="11">
        <f ca="1">IF(staff[[#This Row],[Tenure]]&gt;2,0.03,0.02)*staff[[#This Row],[Salary]]</f>
        <v>2641.5</v>
      </c>
      <c r="K121">
        <f>_xlfn.XLOOKUP(staff[[#This Row],[Rating]],$N$30:$N$34,$O$30:$O$34)</f>
        <v>2</v>
      </c>
    </row>
    <row r="122" spans="1:11" x14ac:dyDescent="0.25">
      <c r="A122" s="10" t="s">
        <v>112</v>
      </c>
      <c r="B122" s="10" t="s">
        <v>208</v>
      </c>
      <c r="C122" s="10">
        <v>27</v>
      </c>
      <c r="D122" s="10" t="s">
        <v>13</v>
      </c>
      <c r="E122" s="12">
        <v>44212</v>
      </c>
      <c r="F122" s="10" t="s">
        <v>12</v>
      </c>
      <c r="G122" s="11">
        <v>90700</v>
      </c>
      <c r="H122" s="10" t="s">
        <v>207</v>
      </c>
      <c r="I122" s="14">
        <f ca="1">(TODAY()-staff[[#This Row],[Date Joined]])/365</f>
        <v>4.7808219178082192</v>
      </c>
      <c r="J122" s="11">
        <f ca="1">IF(staff[[#This Row],[Tenure]]&gt;2,0.03,0.02)*staff[[#This Row],[Salary]]</f>
        <v>2721</v>
      </c>
      <c r="K122">
        <f>_xlfn.XLOOKUP(staff[[#This Row],[Rating]],$N$30:$N$34,$O$30:$O$34)</f>
        <v>4</v>
      </c>
    </row>
    <row r="123" spans="1:11" x14ac:dyDescent="0.25">
      <c r="A123" s="10" t="s">
        <v>11</v>
      </c>
      <c r="B123" s="10" t="s">
        <v>208</v>
      </c>
      <c r="C123" s="10">
        <v>26</v>
      </c>
      <c r="D123" s="10" t="s">
        <v>13</v>
      </c>
      <c r="E123" s="12">
        <v>44271</v>
      </c>
      <c r="F123" s="10" t="s">
        <v>12</v>
      </c>
      <c r="G123" s="11">
        <v>90700</v>
      </c>
      <c r="H123" s="10" t="s">
        <v>206</v>
      </c>
      <c r="I123" s="14">
        <f ca="1">(TODAY()-staff[[#This Row],[Date Joined]])/365</f>
        <v>4.6191780821917812</v>
      </c>
      <c r="J123" s="11">
        <f ca="1">IF(staff[[#This Row],[Tenure]]&gt;2,0.03,0.02)*staff[[#This Row],[Salary]]</f>
        <v>2721</v>
      </c>
      <c r="K123">
        <f>_xlfn.XLOOKUP(staff[[#This Row],[Rating]],$N$30:$N$34,$O$30:$O$34)</f>
        <v>4</v>
      </c>
    </row>
    <row r="124" spans="1:11" x14ac:dyDescent="0.25">
      <c r="A124" s="10" t="s">
        <v>145</v>
      </c>
      <c r="B124" s="10" t="s">
        <v>208</v>
      </c>
      <c r="C124" s="10">
        <v>32</v>
      </c>
      <c r="D124" s="10" t="s">
        <v>16</v>
      </c>
      <c r="E124" s="12">
        <v>44713</v>
      </c>
      <c r="F124" s="10" t="s">
        <v>12</v>
      </c>
      <c r="G124" s="11">
        <v>91310</v>
      </c>
      <c r="H124" s="10" t="s">
        <v>207</v>
      </c>
      <c r="I124" s="14">
        <f ca="1">(TODAY()-staff[[#This Row],[Date Joined]])/365</f>
        <v>3.408219178082192</v>
      </c>
      <c r="J124" s="11">
        <f ca="1">IF(staff[[#This Row],[Tenure]]&gt;2,0.03,0.02)*staff[[#This Row],[Salary]]</f>
        <v>2739.2999999999997</v>
      </c>
      <c r="K124">
        <f>_xlfn.XLOOKUP(staff[[#This Row],[Rating]],$N$30:$N$34,$O$30:$O$34)</f>
        <v>3</v>
      </c>
    </row>
    <row r="125" spans="1:11" x14ac:dyDescent="0.25">
      <c r="A125" s="10" t="s">
        <v>52</v>
      </c>
      <c r="B125" s="10" t="s">
        <v>208</v>
      </c>
      <c r="C125" s="10">
        <v>32</v>
      </c>
      <c r="D125" s="10" t="s">
        <v>16</v>
      </c>
      <c r="E125" s="12">
        <v>44774</v>
      </c>
      <c r="F125" s="10" t="s">
        <v>12</v>
      </c>
      <c r="G125" s="11">
        <v>91310</v>
      </c>
      <c r="H125" s="10" t="s">
        <v>206</v>
      </c>
      <c r="I125" s="14">
        <f ca="1">(TODAY()-staff[[#This Row],[Date Joined]])/365</f>
        <v>3.2410958904109588</v>
      </c>
      <c r="J125" s="11">
        <f ca="1">IF(staff[[#This Row],[Tenure]]&gt;2,0.03,0.02)*staff[[#This Row],[Salary]]</f>
        <v>2739.2999999999997</v>
      </c>
      <c r="K125">
        <f>_xlfn.XLOOKUP(staff[[#This Row],[Rating]],$N$30:$N$34,$O$30:$O$34)</f>
        <v>3</v>
      </c>
    </row>
    <row r="126" spans="1:11" x14ac:dyDescent="0.25">
      <c r="A126" s="10" t="s">
        <v>160</v>
      </c>
      <c r="B126" s="10" t="s">
        <v>15</v>
      </c>
      <c r="C126" s="10">
        <v>27</v>
      </c>
      <c r="D126" s="10" t="s">
        <v>13</v>
      </c>
      <c r="E126" s="12">
        <v>44174</v>
      </c>
      <c r="F126" s="10" t="s">
        <v>21</v>
      </c>
      <c r="G126" s="11">
        <v>91650</v>
      </c>
      <c r="H126" s="10" t="s">
        <v>207</v>
      </c>
      <c r="I126" s="14">
        <f ca="1">(TODAY()-staff[[#This Row],[Date Joined]])/365</f>
        <v>4.8849315068493153</v>
      </c>
      <c r="J126" s="11">
        <f ca="1">IF(staff[[#This Row],[Tenure]]&gt;2,0.03,0.02)*staff[[#This Row],[Salary]]</f>
        <v>2749.5</v>
      </c>
      <c r="K126">
        <f>_xlfn.XLOOKUP(staff[[#This Row],[Rating]],$N$30:$N$34,$O$30:$O$34)</f>
        <v>4</v>
      </c>
    </row>
    <row r="127" spans="1:11" x14ac:dyDescent="0.25">
      <c r="A127" s="10" t="s">
        <v>68</v>
      </c>
      <c r="B127" s="10" t="s">
        <v>15</v>
      </c>
      <c r="C127" s="10">
        <v>27</v>
      </c>
      <c r="D127" s="10" t="s">
        <v>13</v>
      </c>
      <c r="E127" s="12">
        <v>44236</v>
      </c>
      <c r="F127" s="10" t="s">
        <v>21</v>
      </c>
      <c r="G127" s="11">
        <v>91650</v>
      </c>
      <c r="H127" s="10" t="s">
        <v>206</v>
      </c>
      <c r="I127" s="14">
        <f ca="1">(TODAY()-staff[[#This Row],[Date Joined]])/365</f>
        <v>4.7150684931506852</v>
      </c>
      <c r="J127" s="11">
        <f ca="1">IF(staff[[#This Row],[Tenure]]&gt;2,0.03,0.02)*staff[[#This Row],[Salary]]</f>
        <v>2749.5</v>
      </c>
      <c r="K127">
        <f>_xlfn.XLOOKUP(staff[[#This Row],[Rating]],$N$30:$N$34,$O$30:$O$34)</f>
        <v>4</v>
      </c>
    </row>
    <row r="128" spans="1:11" x14ac:dyDescent="0.25">
      <c r="A128" s="10" t="s">
        <v>195</v>
      </c>
      <c r="B128" s="10" t="s">
        <v>8</v>
      </c>
      <c r="C128" s="10">
        <v>34</v>
      </c>
      <c r="D128" s="10" t="s">
        <v>16</v>
      </c>
      <c r="E128" s="12">
        <v>44383</v>
      </c>
      <c r="F128" s="10" t="s">
        <v>21</v>
      </c>
      <c r="G128" s="11">
        <v>92450</v>
      </c>
      <c r="H128" s="10" t="s">
        <v>207</v>
      </c>
      <c r="I128" s="14">
        <f ca="1">(TODAY()-staff[[#This Row],[Date Joined]])/365</f>
        <v>4.3123287671232875</v>
      </c>
      <c r="J128" s="11">
        <f ca="1">IF(staff[[#This Row],[Tenure]]&gt;2,0.03,0.02)*staff[[#This Row],[Salary]]</f>
        <v>2773.5</v>
      </c>
      <c r="K128">
        <f>_xlfn.XLOOKUP(staff[[#This Row],[Rating]],$N$30:$N$34,$O$30:$O$34)</f>
        <v>3</v>
      </c>
    </row>
    <row r="129" spans="1:11" x14ac:dyDescent="0.25">
      <c r="A129" s="10" t="s">
        <v>102</v>
      </c>
      <c r="B129" s="10" t="s">
        <v>8</v>
      </c>
      <c r="C129" s="10">
        <v>34</v>
      </c>
      <c r="D129" s="10" t="s">
        <v>16</v>
      </c>
      <c r="E129" s="12">
        <v>44445</v>
      </c>
      <c r="F129" s="10" t="s">
        <v>21</v>
      </c>
      <c r="G129" s="11">
        <v>92450</v>
      </c>
      <c r="H129" s="10" t="s">
        <v>206</v>
      </c>
      <c r="I129" s="14">
        <f ca="1">(TODAY()-staff[[#This Row],[Date Joined]])/365</f>
        <v>4.1424657534246574</v>
      </c>
      <c r="J129" s="11">
        <f ca="1">IF(staff[[#This Row],[Tenure]]&gt;2,0.03,0.02)*staff[[#This Row],[Salary]]</f>
        <v>2773.5</v>
      </c>
      <c r="K129">
        <f>_xlfn.XLOOKUP(staff[[#This Row],[Rating]],$N$30:$N$34,$O$30:$O$34)</f>
        <v>3</v>
      </c>
    </row>
    <row r="130" spans="1:11" x14ac:dyDescent="0.25">
      <c r="A130" s="10" t="s">
        <v>169</v>
      </c>
      <c r="B130" s="10" t="s">
        <v>8</v>
      </c>
      <c r="C130" s="10">
        <v>25</v>
      </c>
      <c r="D130" s="10" t="s">
        <v>16</v>
      </c>
      <c r="E130" s="12">
        <v>44144</v>
      </c>
      <c r="F130" s="10" t="s">
        <v>19</v>
      </c>
      <c r="G130" s="11">
        <v>92700</v>
      </c>
      <c r="H130" s="10" t="s">
        <v>207</v>
      </c>
      <c r="I130" s="14">
        <f ca="1">(TODAY()-staff[[#This Row],[Date Joined]])/365</f>
        <v>4.9671232876712326</v>
      </c>
      <c r="J130" s="11">
        <f ca="1">IF(staff[[#This Row],[Tenure]]&gt;2,0.03,0.02)*staff[[#This Row],[Salary]]</f>
        <v>2781</v>
      </c>
      <c r="K130">
        <f>_xlfn.XLOOKUP(staff[[#This Row],[Rating]],$N$30:$N$34,$O$30:$O$34)</f>
        <v>3</v>
      </c>
    </row>
    <row r="131" spans="1:11" x14ac:dyDescent="0.25">
      <c r="A131" s="10" t="s">
        <v>77</v>
      </c>
      <c r="B131" s="10" t="s">
        <v>8</v>
      </c>
      <c r="C131" s="10">
        <v>25</v>
      </c>
      <c r="D131" s="10" t="s">
        <v>16</v>
      </c>
      <c r="E131" s="12">
        <v>44205</v>
      </c>
      <c r="F131" s="10" t="s">
        <v>19</v>
      </c>
      <c r="G131" s="11">
        <v>92700</v>
      </c>
      <c r="H131" s="10" t="s">
        <v>206</v>
      </c>
      <c r="I131" s="14">
        <f ca="1">(TODAY()-staff[[#This Row],[Date Joined]])/365</f>
        <v>4.8</v>
      </c>
      <c r="J131" s="11">
        <f ca="1">IF(staff[[#This Row],[Tenure]]&gt;2,0.03,0.02)*staff[[#This Row],[Salary]]</f>
        <v>2781</v>
      </c>
      <c r="K131">
        <f>_xlfn.XLOOKUP(staff[[#This Row],[Rating]],$N$30:$N$34,$O$30:$O$34)</f>
        <v>3</v>
      </c>
    </row>
    <row r="132" spans="1:11" x14ac:dyDescent="0.25">
      <c r="A132" s="10" t="s">
        <v>163</v>
      </c>
      <c r="B132" s="10" t="s">
        <v>8</v>
      </c>
      <c r="C132" s="10">
        <v>33</v>
      </c>
      <c r="D132" s="10" t="s">
        <v>16</v>
      </c>
      <c r="E132" s="12">
        <v>44129</v>
      </c>
      <c r="F132" s="10" t="s">
        <v>12</v>
      </c>
      <c r="G132" s="11">
        <v>96140</v>
      </c>
      <c r="H132" s="10" t="s">
        <v>207</v>
      </c>
      <c r="I132" s="14">
        <f ca="1">(TODAY()-staff[[#This Row],[Date Joined]])/365</f>
        <v>5.0082191780821921</v>
      </c>
      <c r="J132" s="11">
        <f ca="1">IF(staff[[#This Row],[Tenure]]&gt;2,0.03,0.02)*staff[[#This Row],[Salary]]</f>
        <v>2884.2</v>
      </c>
      <c r="K132">
        <f>_xlfn.XLOOKUP(staff[[#This Row],[Rating]],$N$30:$N$34,$O$30:$O$34)</f>
        <v>3</v>
      </c>
    </row>
    <row r="133" spans="1:11" x14ac:dyDescent="0.25">
      <c r="A133" s="10" t="s">
        <v>71</v>
      </c>
      <c r="B133" s="10" t="s">
        <v>8</v>
      </c>
      <c r="C133" s="10">
        <v>33</v>
      </c>
      <c r="D133" s="10" t="s">
        <v>16</v>
      </c>
      <c r="E133" s="12">
        <v>44190</v>
      </c>
      <c r="F133" s="10" t="s">
        <v>12</v>
      </c>
      <c r="G133" s="11">
        <v>96140</v>
      </c>
      <c r="H133" s="10" t="s">
        <v>206</v>
      </c>
      <c r="I133" s="14">
        <f ca="1">(TODAY()-staff[[#This Row],[Date Joined]])/365</f>
        <v>4.8410958904109593</v>
      </c>
      <c r="J133" s="11">
        <f ca="1">IF(staff[[#This Row],[Tenure]]&gt;2,0.03,0.02)*staff[[#This Row],[Salary]]</f>
        <v>2884.2</v>
      </c>
      <c r="K133">
        <f>_xlfn.XLOOKUP(staff[[#This Row],[Rating]],$N$30:$N$34,$O$30:$O$34)</f>
        <v>3</v>
      </c>
    </row>
    <row r="134" spans="1:11" x14ac:dyDescent="0.25">
      <c r="A134" s="10" t="s">
        <v>177</v>
      </c>
      <c r="B134" s="10" t="s">
        <v>15</v>
      </c>
      <c r="C134" s="10">
        <v>30</v>
      </c>
      <c r="D134" s="10" t="s">
        <v>16</v>
      </c>
      <c r="E134" s="12">
        <v>44544</v>
      </c>
      <c r="F134" s="10" t="s">
        <v>21</v>
      </c>
      <c r="G134" s="11">
        <v>96800</v>
      </c>
      <c r="H134" s="10" t="s">
        <v>207</v>
      </c>
      <c r="I134" s="14">
        <f ca="1">(TODAY()-staff[[#This Row],[Date Joined]])/365</f>
        <v>3.871232876712329</v>
      </c>
      <c r="J134" s="11">
        <f ca="1">IF(staff[[#This Row],[Tenure]]&gt;2,0.03,0.02)*staff[[#This Row],[Salary]]</f>
        <v>2904</v>
      </c>
      <c r="K134">
        <f>_xlfn.XLOOKUP(staff[[#This Row],[Rating]],$N$30:$N$34,$O$30:$O$34)</f>
        <v>3</v>
      </c>
    </row>
    <row r="135" spans="1:11" x14ac:dyDescent="0.25">
      <c r="A135" s="10" t="s">
        <v>85</v>
      </c>
      <c r="B135" s="10" t="s">
        <v>15</v>
      </c>
      <c r="C135" s="10">
        <v>30</v>
      </c>
      <c r="D135" s="10" t="s">
        <v>16</v>
      </c>
      <c r="E135" s="12">
        <v>44606</v>
      </c>
      <c r="F135" s="10" t="s">
        <v>21</v>
      </c>
      <c r="G135" s="11">
        <v>96800</v>
      </c>
      <c r="H135" s="10" t="s">
        <v>206</v>
      </c>
      <c r="I135" s="14">
        <f ca="1">(TODAY()-staff[[#This Row],[Date Joined]])/365</f>
        <v>3.7013698630136984</v>
      </c>
      <c r="J135" s="11">
        <f ca="1">IF(staff[[#This Row],[Tenure]]&gt;2,0.03,0.02)*staff[[#This Row],[Salary]]</f>
        <v>2904</v>
      </c>
      <c r="K135">
        <f>_xlfn.XLOOKUP(staff[[#This Row],[Rating]],$N$30:$N$34,$O$30:$O$34)</f>
        <v>3</v>
      </c>
    </row>
    <row r="136" spans="1:11" x14ac:dyDescent="0.25">
      <c r="A136" s="10" t="s">
        <v>198</v>
      </c>
      <c r="B136" s="10" t="s">
        <v>15</v>
      </c>
      <c r="C136" s="10">
        <v>40</v>
      </c>
      <c r="D136" s="10" t="s">
        <v>16</v>
      </c>
      <c r="E136" s="12">
        <v>44204</v>
      </c>
      <c r="F136" s="10" t="s">
        <v>9</v>
      </c>
      <c r="G136" s="11">
        <v>99750</v>
      </c>
      <c r="H136" s="10" t="s">
        <v>207</v>
      </c>
      <c r="I136" s="14">
        <f ca="1">(TODAY()-staff[[#This Row],[Date Joined]])/365</f>
        <v>4.8027397260273972</v>
      </c>
      <c r="J136" s="11">
        <f ca="1">IF(staff[[#This Row],[Tenure]]&gt;2,0.03,0.02)*staff[[#This Row],[Salary]]</f>
        <v>2992.5</v>
      </c>
      <c r="K136">
        <f>_xlfn.XLOOKUP(staff[[#This Row],[Rating]],$N$30:$N$34,$O$30:$O$34)</f>
        <v>3</v>
      </c>
    </row>
    <row r="137" spans="1:11" x14ac:dyDescent="0.25">
      <c r="A137" s="10" t="s">
        <v>105</v>
      </c>
      <c r="B137" s="10" t="s">
        <v>15</v>
      </c>
      <c r="C137" s="10">
        <v>40</v>
      </c>
      <c r="D137" s="10" t="s">
        <v>16</v>
      </c>
      <c r="E137" s="12">
        <v>44263</v>
      </c>
      <c r="F137" s="10" t="s">
        <v>9</v>
      </c>
      <c r="G137" s="11">
        <v>99750</v>
      </c>
      <c r="H137" s="10" t="s">
        <v>206</v>
      </c>
      <c r="I137" s="14">
        <f ca="1">(TODAY()-staff[[#This Row],[Date Joined]])/365</f>
        <v>4.6410958904109592</v>
      </c>
      <c r="J137" s="11">
        <f ca="1">IF(staff[[#This Row],[Tenure]]&gt;2,0.03,0.02)*staff[[#This Row],[Salary]]</f>
        <v>2992.5</v>
      </c>
      <c r="K137">
        <f>_xlfn.XLOOKUP(staff[[#This Row],[Rating]],$N$30:$N$34,$O$30:$O$34)</f>
        <v>3</v>
      </c>
    </row>
    <row r="138" spans="1:11" x14ac:dyDescent="0.25">
      <c r="A138" s="10" t="s">
        <v>200</v>
      </c>
      <c r="B138" s="10" t="s">
        <v>8</v>
      </c>
      <c r="C138" s="10">
        <v>28</v>
      </c>
      <c r="D138" s="10" t="s">
        <v>16</v>
      </c>
      <c r="E138" s="12">
        <v>44571</v>
      </c>
      <c r="F138" s="10" t="s">
        <v>9</v>
      </c>
      <c r="G138" s="11">
        <v>99970</v>
      </c>
      <c r="H138" s="10" t="s">
        <v>207</v>
      </c>
      <c r="I138" s="14">
        <f ca="1">(TODAY()-staff[[#This Row],[Date Joined]])/365</f>
        <v>3.7972602739726029</v>
      </c>
      <c r="J138" s="11">
        <f ca="1">IF(staff[[#This Row],[Tenure]]&gt;2,0.03,0.02)*staff[[#This Row],[Salary]]</f>
        <v>2999.1</v>
      </c>
      <c r="K138">
        <f>_xlfn.XLOOKUP(staff[[#This Row],[Rating]],$N$30:$N$34,$O$30:$O$34)</f>
        <v>3</v>
      </c>
    </row>
    <row r="139" spans="1:11" x14ac:dyDescent="0.25">
      <c r="A139" s="10" t="s">
        <v>107</v>
      </c>
      <c r="B139" s="10" t="s">
        <v>8</v>
      </c>
      <c r="C139" s="10">
        <v>28</v>
      </c>
      <c r="D139" s="10" t="s">
        <v>16</v>
      </c>
      <c r="E139" s="12">
        <v>44630</v>
      </c>
      <c r="F139" s="10" t="s">
        <v>9</v>
      </c>
      <c r="G139" s="11">
        <v>99970</v>
      </c>
      <c r="H139" s="10" t="s">
        <v>206</v>
      </c>
      <c r="I139" s="14">
        <f ca="1">(TODAY()-staff[[#This Row],[Date Joined]])/365</f>
        <v>3.6356164383561644</v>
      </c>
      <c r="J139" s="11">
        <f ca="1">IF(staff[[#This Row],[Tenure]]&gt;2,0.03,0.02)*staff[[#This Row],[Salary]]</f>
        <v>2999.1</v>
      </c>
      <c r="K139">
        <f>_xlfn.XLOOKUP(staff[[#This Row],[Rating]],$N$30:$N$34,$O$30:$O$34)</f>
        <v>3</v>
      </c>
    </row>
    <row r="140" spans="1:11" x14ac:dyDescent="0.25">
      <c r="A140" s="10" t="s">
        <v>196</v>
      </c>
      <c r="B140" s="10" t="s">
        <v>15</v>
      </c>
      <c r="C140" s="10">
        <v>24</v>
      </c>
      <c r="D140" s="10" t="s">
        <v>16</v>
      </c>
      <c r="E140" s="12">
        <v>44625</v>
      </c>
      <c r="F140" s="10" t="s">
        <v>12</v>
      </c>
      <c r="G140" s="11">
        <v>100420</v>
      </c>
      <c r="H140" s="10" t="s">
        <v>207</v>
      </c>
      <c r="I140" s="14">
        <f ca="1">(TODAY()-staff[[#This Row],[Date Joined]])/365</f>
        <v>3.6493150684931508</v>
      </c>
      <c r="J140" s="11">
        <f ca="1">IF(staff[[#This Row],[Tenure]]&gt;2,0.03,0.02)*staff[[#This Row],[Salary]]</f>
        <v>3012.6</v>
      </c>
      <c r="K140">
        <f>_xlfn.XLOOKUP(staff[[#This Row],[Rating]],$N$30:$N$34,$O$30:$O$34)</f>
        <v>3</v>
      </c>
    </row>
    <row r="141" spans="1:11" x14ac:dyDescent="0.25">
      <c r="A141" s="10" t="s">
        <v>103</v>
      </c>
      <c r="B141" s="10" t="s">
        <v>15</v>
      </c>
      <c r="C141" s="10">
        <v>24</v>
      </c>
      <c r="D141" s="10" t="s">
        <v>16</v>
      </c>
      <c r="E141" s="12">
        <v>44686</v>
      </c>
      <c r="F141" s="10" t="s">
        <v>12</v>
      </c>
      <c r="G141" s="11">
        <v>100420</v>
      </c>
      <c r="H141" s="10" t="s">
        <v>206</v>
      </c>
      <c r="I141" s="14">
        <f ca="1">(TODAY()-staff[[#This Row],[Date Joined]])/365</f>
        <v>3.4821917808219176</v>
      </c>
      <c r="J141" s="11">
        <f ca="1">IF(staff[[#This Row],[Tenure]]&gt;2,0.03,0.02)*staff[[#This Row],[Salary]]</f>
        <v>3012.6</v>
      </c>
      <c r="K141">
        <f>_xlfn.XLOOKUP(staff[[#This Row],[Rating]],$N$30:$N$34,$O$30:$O$34)</f>
        <v>3</v>
      </c>
    </row>
    <row r="142" spans="1:11" x14ac:dyDescent="0.25">
      <c r="A142" s="10" t="s">
        <v>143</v>
      </c>
      <c r="B142" s="10" t="s">
        <v>15</v>
      </c>
      <c r="C142" s="10">
        <v>31</v>
      </c>
      <c r="D142" s="10" t="s">
        <v>16</v>
      </c>
      <c r="E142" s="12">
        <v>44663</v>
      </c>
      <c r="F142" s="10" t="s">
        <v>9</v>
      </c>
      <c r="G142" s="11">
        <v>103550</v>
      </c>
      <c r="H142" s="10" t="s">
        <v>207</v>
      </c>
      <c r="I142" s="14">
        <f ca="1">(TODAY()-staff[[#This Row],[Date Joined]])/365</f>
        <v>3.5452054794520547</v>
      </c>
      <c r="J142" s="11">
        <f ca="1">IF(staff[[#This Row],[Tenure]]&gt;2,0.03,0.02)*staff[[#This Row],[Salary]]</f>
        <v>3106.5</v>
      </c>
      <c r="K142">
        <f>_xlfn.XLOOKUP(staff[[#This Row],[Rating]],$N$30:$N$34,$O$30:$O$34)</f>
        <v>3</v>
      </c>
    </row>
    <row r="143" spans="1:11" x14ac:dyDescent="0.25">
      <c r="A143" s="10" t="s">
        <v>50</v>
      </c>
      <c r="B143" s="10" t="s">
        <v>15</v>
      </c>
      <c r="C143" s="10">
        <v>31</v>
      </c>
      <c r="D143" s="10" t="s">
        <v>16</v>
      </c>
      <c r="E143" s="12">
        <v>44724</v>
      </c>
      <c r="F143" s="10" t="s">
        <v>9</v>
      </c>
      <c r="G143" s="11">
        <v>103550</v>
      </c>
      <c r="H143" s="10" t="s">
        <v>206</v>
      </c>
      <c r="I143" s="14">
        <f ca="1">(TODAY()-staff[[#This Row],[Date Joined]])/365</f>
        <v>3.3780821917808219</v>
      </c>
      <c r="J143" s="11">
        <f ca="1">IF(staff[[#This Row],[Tenure]]&gt;2,0.03,0.02)*staff[[#This Row],[Salary]]</f>
        <v>3106.5</v>
      </c>
      <c r="K143">
        <f>_xlfn.XLOOKUP(staff[[#This Row],[Rating]],$N$30:$N$34,$O$30:$O$34)</f>
        <v>3</v>
      </c>
    </row>
    <row r="144" spans="1:11" x14ac:dyDescent="0.25">
      <c r="A144" s="10" t="s">
        <v>189</v>
      </c>
      <c r="B144" s="10" t="s">
        <v>8</v>
      </c>
      <c r="C144" s="10">
        <v>28</v>
      </c>
      <c r="D144" s="10" t="s">
        <v>16</v>
      </c>
      <c r="E144" s="12">
        <v>44590</v>
      </c>
      <c r="F144" s="10" t="s">
        <v>9</v>
      </c>
      <c r="G144" s="11">
        <v>104120</v>
      </c>
      <c r="H144" s="10" t="s">
        <v>207</v>
      </c>
      <c r="I144" s="14">
        <f ca="1">(TODAY()-staff[[#This Row],[Date Joined]])/365</f>
        <v>3.7452054794520548</v>
      </c>
      <c r="J144" s="11">
        <f ca="1">IF(staff[[#This Row],[Tenure]]&gt;2,0.03,0.02)*staff[[#This Row],[Salary]]</f>
        <v>3123.6</v>
      </c>
      <c r="K144">
        <f>_xlfn.XLOOKUP(staff[[#This Row],[Rating]],$N$30:$N$34,$O$30:$O$34)</f>
        <v>3</v>
      </c>
    </row>
    <row r="145" spans="1:11" x14ac:dyDescent="0.25">
      <c r="A145" s="10" t="s">
        <v>96</v>
      </c>
      <c r="B145" s="10" t="s">
        <v>8</v>
      </c>
      <c r="C145" s="10">
        <v>28</v>
      </c>
      <c r="D145" s="10" t="s">
        <v>16</v>
      </c>
      <c r="E145" s="12">
        <v>44649</v>
      </c>
      <c r="F145" s="10" t="s">
        <v>9</v>
      </c>
      <c r="G145" s="11">
        <v>104120</v>
      </c>
      <c r="H145" s="10" t="s">
        <v>206</v>
      </c>
      <c r="I145" s="14">
        <f ca="1">(TODAY()-staff[[#This Row],[Date Joined]])/365</f>
        <v>3.5835616438356164</v>
      </c>
      <c r="J145" s="11">
        <f ca="1">IF(staff[[#This Row],[Tenure]]&gt;2,0.03,0.02)*staff[[#This Row],[Salary]]</f>
        <v>3123.6</v>
      </c>
      <c r="K145">
        <f>_xlfn.XLOOKUP(staff[[#This Row],[Rating]],$N$30:$N$34,$O$30:$O$34)</f>
        <v>3</v>
      </c>
    </row>
    <row r="146" spans="1:11" x14ac:dyDescent="0.25">
      <c r="A146" s="10" t="s">
        <v>194</v>
      </c>
      <c r="B146" s="10" t="s">
        <v>8</v>
      </c>
      <c r="C146" s="10">
        <v>40</v>
      </c>
      <c r="D146" s="10" t="s">
        <v>16</v>
      </c>
      <c r="E146" s="12">
        <v>44320</v>
      </c>
      <c r="F146" s="10" t="s">
        <v>12</v>
      </c>
      <c r="G146" s="11">
        <v>104410</v>
      </c>
      <c r="H146" s="10" t="s">
        <v>207</v>
      </c>
      <c r="I146" s="14">
        <f ca="1">(TODAY()-staff[[#This Row],[Date Joined]])/365</f>
        <v>4.484931506849315</v>
      </c>
      <c r="J146" s="11">
        <f ca="1">IF(staff[[#This Row],[Tenure]]&gt;2,0.03,0.02)*staff[[#This Row],[Salary]]</f>
        <v>3132.2999999999997</v>
      </c>
      <c r="K146">
        <f>_xlfn.XLOOKUP(staff[[#This Row],[Rating]],$N$30:$N$34,$O$30:$O$34)</f>
        <v>3</v>
      </c>
    </row>
    <row r="147" spans="1:11" x14ac:dyDescent="0.25">
      <c r="A147" s="10" t="s">
        <v>101</v>
      </c>
      <c r="B147" s="10" t="s">
        <v>8</v>
      </c>
      <c r="C147" s="10">
        <v>40</v>
      </c>
      <c r="D147" s="10" t="s">
        <v>16</v>
      </c>
      <c r="E147" s="12">
        <v>44381</v>
      </c>
      <c r="F147" s="10" t="s">
        <v>12</v>
      </c>
      <c r="G147" s="11">
        <v>104410</v>
      </c>
      <c r="H147" s="10" t="s">
        <v>206</v>
      </c>
      <c r="I147" s="14">
        <f ca="1">(TODAY()-staff[[#This Row],[Date Joined]])/365</f>
        <v>4.3178082191780822</v>
      </c>
      <c r="J147" s="11">
        <f ca="1">IF(staff[[#This Row],[Tenure]]&gt;2,0.03,0.02)*staff[[#This Row],[Salary]]</f>
        <v>3132.2999999999997</v>
      </c>
      <c r="K147">
        <f>_xlfn.XLOOKUP(staff[[#This Row],[Rating]],$N$30:$N$34,$O$30:$O$34)</f>
        <v>3</v>
      </c>
    </row>
    <row r="148" spans="1:11" x14ac:dyDescent="0.25">
      <c r="A148" s="10" t="s">
        <v>136</v>
      </c>
      <c r="B148" s="10" t="s">
        <v>8</v>
      </c>
      <c r="C148" s="10">
        <v>28</v>
      </c>
      <c r="D148" s="10" t="s">
        <v>16</v>
      </c>
      <c r="E148" s="12">
        <v>44425</v>
      </c>
      <c r="F148" s="10" t="s">
        <v>9</v>
      </c>
      <c r="G148" s="11">
        <v>104770</v>
      </c>
      <c r="H148" s="10" t="s">
        <v>207</v>
      </c>
      <c r="I148" s="14">
        <f ca="1">(TODAY()-staff[[#This Row],[Date Joined]])/365</f>
        <v>4.1972602739726028</v>
      </c>
      <c r="J148" s="11">
        <f ca="1">IF(staff[[#This Row],[Tenure]]&gt;2,0.03,0.02)*staff[[#This Row],[Salary]]</f>
        <v>3143.1</v>
      </c>
      <c r="K148">
        <f>_xlfn.XLOOKUP(staff[[#This Row],[Rating]],$N$30:$N$34,$O$30:$O$34)</f>
        <v>3</v>
      </c>
    </row>
    <row r="149" spans="1:11" x14ac:dyDescent="0.25">
      <c r="A149" s="10" t="s">
        <v>43</v>
      </c>
      <c r="B149" s="10" t="s">
        <v>8</v>
      </c>
      <c r="C149" s="10">
        <v>28</v>
      </c>
      <c r="D149" s="10" t="s">
        <v>16</v>
      </c>
      <c r="E149" s="12">
        <v>44486</v>
      </c>
      <c r="F149" s="10" t="s">
        <v>9</v>
      </c>
      <c r="G149" s="11">
        <v>104770</v>
      </c>
      <c r="H149" s="10" t="s">
        <v>206</v>
      </c>
      <c r="I149" s="14">
        <f ca="1">(TODAY()-staff[[#This Row],[Date Joined]])/365</f>
        <v>4.0301369863013701</v>
      </c>
      <c r="J149" s="11">
        <f ca="1">IF(staff[[#This Row],[Tenure]]&gt;2,0.03,0.02)*staff[[#This Row],[Salary]]</f>
        <v>3143.1</v>
      </c>
      <c r="K149">
        <f>_xlfn.XLOOKUP(staff[[#This Row],[Rating]],$N$30:$N$34,$O$30:$O$34)</f>
        <v>3</v>
      </c>
    </row>
    <row r="150" spans="1:11" x14ac:dyDescent="0.25">
      <c r="A150" s="10" t="s">
        <v>161</v>
      </c>
      <c r="B150" s="10" t="s">
        <v>15</v>
      </c>
      <c r="C150" s="10">
        <v>23</v>
      </c>
      <c r="D150" s="10" t="s">
        <v>16</v>
      </c>
      <c r="E150" s="12">
        <v>44378</v>
      </c>
      <c r="F150" s="10" t="s">
        <v>9</v>
      </c>
      <c r="G150" s="11">
        <v>106460</v>
      </c>
      <c r="H150" s="10" t="s">
        <v>207</v>
      </c>
      <c r="I150" s="14">
        <f ca="1">(TODAY()-staff[[#This Row],[Date Joined]])/365</f>
        <v>4.3260273972602743</v>
      </c>
      <c r="J150" s="11">
        <f ca="1">IF(staff[[#This Row],[Tenure]]&gt;2,0.03,0.02)*staff[[#This Row],[Salary]]</f>
        <v>3193.7999999999997</v>
      </c>
      <c r="K150">
        <f>_xlfn.XLOOKUP(staff[[#This Row],[Rating]],$N$30:$N$34,$O$30:$O$34)</f>
        <v>3</v>
      </c>
    </row>
    <row r="151" spans="1:11" x14ac:dyDescent="0.25">
      <c r="A151" s="10" t="s">
        <v>69</v>
      </c>
      <c r="B151" s="10" t="s">
        <v>15</v>
      </c>
      <c r="C151" s="10">
        <v>23</v>
      </c>
      <c r="D151" s="10" t="s">
        <v>16</v>
      </c>
      <c r="E151" s="12">
        <v>44440</v>
      </c>
      <c r="F151" s="10" t="s">
        <v>9</v>
      </c>
      <c r="G151" s="11">
        <v>106460</v>
      </c>
      <c r="H151" s="10" t="s">
        <v>206</v>
      </c>
      <c r="I151" s="14">
        <f ca="1">(TODAY()-staff[[#This Row],[Date Joined]])/365</f>
        <v>4.1561643835616442</v>
      </c>
      <c r="J151" s="11">
        <f ca="1">IF(staff[[#This Row],[Tenure]]&gt;2,0.03,0.02)*staff[[#This Row],[Salary]]</f>
        <v>3193.7999999999997</v>
      </c>
      <c r="K151">
        <f>_xlfn.XLOOKUP(staff[[#This Row],[Rating]],$N$30:$N$34,$O$30:$O$34)</f>
        <v>3</v>
      </c>
    </row>
    <row r="152" spans="1:11" x14ac:dyDescent="0.25">
      <c r="A152" s="10" t="s">
        <v>117</v>
      </c>
      <c r="B152" s="10" t="s">
        <v>15</v>
      </c>
      <c r="C152" s="10">
        <v>20</v>
      </c>
      <c r="D152" s="10" t="s">
        <v>16</v>
      </c>
      <c r="E152" s="12">
        <v>44397</v>
      </c>
      <c r="F152" s="10" t="s">
        <v>12</v>
      </c>
      <c r="G152" s="11">
        <v>107700</v>
      </c>
      <c r="H152" s="10" t="s">
        <v>207</v>
      </c>
      <c r="I152" s="14">
        <f ca="1">(TODAY()-staff[[#This Row],[Date Joined]])/365</f>
        <v>4.2739726027397262</v>
      </c>
      <c r="J152" s="11">
        <f ca="1">IF(staff[[#This Row],[Tenure]]&gt;2,0.03,0.02)*staff[[#This Row],[Salary]]</f>
        <v>3231</v>
      </c>
      <c r="K152">
        <f>_xlfn.XLOOKUP(staff[[#This Row],[Rating]],$N$30:$N$34,$O$30:$O$34)</f>
        <v>3</v>
      </c>
    </row>
    <row r="153" spans="1:11" x14ac:dyDescent="0.25">
      <c r="A153" s="10" t="s">
        <v>22</v>
      </c>
      <c r="B153" s="10" t="s">
        <v>15</v>
      </c>
      <c r="C153" s="10">
        <v>20</v>
      </c>
      <c r="D153" s="10" t="s">
        <v>16</v>
      </c>
      <c r="E153" s="12">
        <v>44459</v>
      </c>
      <c r="F153" s="10" t="s">
        <v>12</v>
      </c>
      <c r="G153" s="11">
        <v>107700</v>
      </c>
      <c r="H153" s="10" t="s">
        <v>206</v>
      </c>
      <c r="I153" s="14">
        <f ca="1">(TODAY()-staff[[#This Row],[Date Joined]])/365</f>
        <v>4.1041095890410961</v>
      </c>
      <c r="J153" s="11">
        <f ca="1">IF(staff[[#This Row],[Tenure]]&gt;2,0.03,0.02)*staff[[#This Row],[Salary]]</f>
        <v>3231</v>
      </c>
      <c r="K153">
        <f>_xlfn.XLOOKUP(staff[[#This Row],[Rating]],$N$30:$N$34,$O$30:$O$34)</f>
        <v>3</v>
      </c>
    </row>
    <row r="154" spans="1:11" x14ac:dyDescent="0.25">
      <c r="A154" s="10" t="s">
        <v>127</v>
      </c>
      <c r="B154" s="10" t="s">
        <v>8</v>
      </c>
      <c r="C154" s="10">
        <v>38</v>
      </c>
      <c r="D154" s="10" t="s">
        <v>10</v>
      </c>
      <c r="E154" s="12">
        <v>44316</v>
      </c>
      <c r="F154" s="10" t="s">
        <v>19</v>
      </c>
      <c r="G154" s="11">
        <v>109160</v>
      </c>
      <c r="H154" s="10" t="s">
        <v>207</v>
      </c>
      <c r="I154" s="14">
        <f ca="1">(TODAY()-staff[[#This Row],[Date Joined]])/365</f>
        <v>4.4958904109589044</v>
      </c>
      <c r="J154" s="11">
        <f ca="1">IF(staff[[#This Row],[Tenure]]&gt;2,0.03,0.02)*staff[[#This Row],[Salary]]</f>
        <v>3274.7999999999997</v>
      </c>
      <c r="K154">
        <f>_xlfn.XLOOKUP(staff[[#This Row],[Rating]],$N$30:$N$34,$O$30:$O$34)</f>
        <v>5</v>
      </c>
    </row>
    <row r="155" spans="1:11" x14ac:dyDescent="0.25">
      <c r="A155" s="10" t="s">
        <v>33</v>
      </c>
      <c r="B155" s="10" t="s">
        <v>8</v>
      </c>
      <c r="C155" s="10">
        <v>38</v>
      </c>
      <c r="D155" s="10" t="s">
        <v>10</v>
      </c>
      <c r="E155" s="12">
        <v>44377</v>
      </c>
      <c r="F155" s="10" t="s">
        <v>19</v>
      </c>
      <c r="G155" s="11">
        <v>109160</v>
      </c>
      <c r="H155" s="10" t="s">
        <v>206</v>
      </c>
      <c r="I155" s="14">
        <f ca="1">(TODAY()-staff[[#This Row],[Date Joined]])/365</f>
        <v>4.3287671232876717</v>
      </c>
      <c r="J155" s="11">
        <f ca="1">IF(staff[[#This Row],[Tenure]]&gt;2,0.03,0.02)*staff[[#This Row],[Salary]]</f>
        <v>3274.7999999999997</v>
      </c>
      <c r="K155">
        <f>_xlfn.XLOOKUP(staff[[#This Row],[Rating]],$N$30:$N$34,$O$30:$O$34)</f>
        <v>5</v>
      </c>
    </row>
    <row r="156" spans="1:11" x14ac:dyDescent="0.25">
      <c r="A156" s="10" t="s">
        <v>128</v>
      </c>
      <c r="B156" s="10" t="s">
        <v>15</v>
      </c>
      <c r="C156" s="10">
        <v>25</v>
      </c>
      <c r="D156" s="10" t="s">
        <v>13</v>
      </c>
      <c r="E156" s="12">
        <v>44665</v>
      </c>
      <c r="F156" s="10" t="s">
        <v>9</v>
      </c>
      <c r="G156" s="11">
        <v>109190</v>
      </c>
      <c r="H156" s="10" t="s">
        <v>207</v>
      </c>
      <c r="I156" s="14">
        <f ca="1">(TODAY()-staff[[#This Row],[Date Joined]])/365</f>
        <v>3.5397260273972604</v>
      </c>
      <c r="J156" s="11">
        <f ca="1">IF(staff[[#This Row],[Tenure]]&gt;2,0.03,0.02)*staff[[#This Row],[Salary]]</f>
        <v>3275.7</v>
      </c>
      <c r="K156">
        <f>_xlfn.XLOOKUP(staff[[#This Row],[Rating]],$N$30:$N$34,$O$30:$O$34)</f>
        <v>4</v>
      </c>
    </row>
    <row r="157" spans="1:11" x14ac:dyDescent="0.25">
      <c r="A157" s="10" t="s">
        <v>34</v>
      </c>
      <c r="B157" s="10" t="s">
        <v>15</v>
      </c>
      <c r="C157" s="10">
        <v>25</v>
      </c>
      <c r="D157" s="10" t="s">
        <v>13</v>
      </c>
      <c r="E157" s="12">
        <v>44726</v>
      </c>
      <c r="F157" s="10" t="s">
        <v>9</v>
      </c>
      <c r="G157" s="11">
        <v>109190</v>
      </c>
      <c r="H157" s="10" t="s">
        <v>206</v>
      </c>
      <c r="I157" s="14">
        <f ca="1">(TODAY()-staff[[#This Row],[Date Joined]])/365</f>
        <v>3.3726027397260272</v>
      </c>
      <c r="J157" s="11">
        <f ca="1">IF(staff[[#This Row],[Tenure]]&gt;2,0.03,0.02)*staff[[#This Row],[Salary]]</f>
        <v>3275.7</v>
      </c>
      <c r="K157">
        <f>_xlfn.XLOOKUP(staff[[#This Row],[Rating]],$N$30:$N$34,$O$30:$O$34)</f>
        <v>4</v>
      </c>
    </row>
    <row r="158" spans="1:11" x14ac:dyDescent="0.25">
      <c r="A158" s="10" t="s">
        <v>180</v>
      </c>
      <c r="B158" s="10" t="s">
        <v>15</v>
      </c>
      <c r="C158" s="10">
        <v>29</v>
      </c>
      <c r="D158" s="10" t="s">
        <v>24</v>
      </c>
      <c r="E158" s="12">
        <v>44119</v>
      </c>
      <c r="F158" s="10" t="s">
        <v>12</v>
      </c>
      <c r="G158" s="11">
        <v>112110</v>
      </c>
      <c r="H158" s="10" t="s">
        <v>207</v>
      </c>
      <c r="I158" s="14">
        <f ca="1">(TODAY()-staff[[#This Row],[Date Joined]])/365</f>
        <v>5.0356164383561648</v>
      </c>
      <c r="J158" s="11">
        <f ca="1">IF(staff[[#This Row],[Tenure]]&gt;2,0.03,0.02)*staff[[#This Row],[Salary]]</f>
        <v>3363.2999999999997</v>
      </c>
      <c r="K158">
        <f>_xlfn.XLOOKUP(staff[[#This Row],[Rating]],$N$30:$N$34,$O$30:$O$34)</f>
        <v>2</v>
      </c>
    </row>
    <row r="159" spans="1:11" x14ac:dyDescent="0.25">
      <c r="A159" s="10" t="s">
        <v>87</v>
      </c>
      <c r="B159" s="10" t="s">
        <v>15</v>
      </c>
      <c r="C159" s="10">
        <v>29</v>
      </c>
      <c r="D159" s="10" t="s">
        <v>24</v>
      </c>
      <c r="E159" s="12">
        <v>44180</v>
      </c>
      <c r="F159" s="10" t="s">
        <v>12</v>
      </c>
      <c r="G159" s="11">
        <v>112110</v>
      </c>
      <c r="H159" s="10" t="s">
        <v>206</v>
      </c>
      <c r="I159" s="14">
        <f ca="1">(TODAY()-staff[[#This Row],[Date Joined]])/365</f>
        <v>4.8684931506849312</v>
      </c>
      <c r="J159" s="11">
        <f ca="1">IF(staff[[#This Row],[Tenure]]&gt;2,0.03,0.02)*staff[[#This Row],[Salary]]</f>
        <v>3363.2999999999997</v>
      </c>
      <c r="K159">
        <f>_xlfn.XLOOKUP(staff[[#This Row],[Rating]],$N$30:$N$34,$O$30:$O$34)</f>
        <v>2</v>
      </c>
    </row>
    <row r="160" spans="1:11" x14ac:dyDescent="0.25">
      <c r="A160" s="10" t="s">
        <v>173</v>
      </c>
      <c r="B160" s="10" t="s">
        <v>8</v>
      </c>
      <c r="C160" s="10">
        <v>30</v>
      </c>
      <c r="D160" s="10" t="s">
        <v>16</v>
      </c>
      <c r="E160" s="12">
        <v>44800</v>
      </c>
      <c r="F160" s="10" t="s">
        <v>9</v>
      </c>
      <c r="G160" s="11">
        <v>112570</v>
      </c>
      <c r="H160" s="10" t="s">
        <v>207</v>
      </c>
      <c r="I160" s="14">
        <f ca="1">(TODAY()-staff[[#This Row],[Date Joined]])/365</f>
        <v>3.1698630136986301</v>
      </c>
      <c r="J160" s="11">
        <f ca="1">IF(staff[[#This Row],[Tenure]]&gt;2,0.03,0.02)*staff[[#This Row],[Salary]]</f>
        <v>3377.1</v>
      </c>
      <c r="K160">
        <f>_xlfn.XLOOKUP(staff[[#This Row],[Rating]],$N$30:$N$34,$O$30:$O$34)</f>
        <v>3</v>
      </c>
    </row>
    <row r="161" spans="1:11" x14ac:dyDescent="0.25">
      <c r="A161" s="10" t="s">
        <v>81</v>
      </c>
      <c r="B161" s="10" t="s">
        <v>8</v>
      </c>
      <c r="C161" s="10">
        <v>30</v>
      </c>
      <c r="D161" s="10" t="s">
        <v>16</v>
      </c>
      <c r="E161" s="12">
        <v>44861</v>
      </c>
      <c r="F161" s="10" t="s">
        <v>9</v>
      </c>
      <c r="G161" s="11">
        <v>112570</v>
      </c>
      <c r="H161" s="10" t="s">
        <v>206</v>
      </c>
      <c r="I161" s="14">
        <f ca="1">(TODAY()-staff[[#This Row],[Date Joined]])/365</f>
        <v>3.0027397260273974</v>
      </c>
      <c r="J161" s="11">
        <f ca="1">IF(staff[[#This Row],[Tenure]]&gt;2,0.03,0.02)*staff[[#This Row],[Salary]]</f>
        <v>3377.1</v>
      </c>
      <c r="K161">
        <f>_xlfn.XLOOKUP(staff[[#This Row],[Rating]],$N$30:$N$34,$O$30:$O$34)</f>
        <v>3</v>
      </c>
    </row>
    <row r="162" spans="1:11" x14ac:dyDescent="0.25">
      <c r="A162" s="10" t="s">
        <v>156</v>
      </c>
      <c r="B162" s="10" t="s">
        <v>15</v>
      </c>
      <c r="C162" s="10">
        <v>20</v>
      </c>
      <c r="D162" s="10" t="s">
        <v>16</v>
      </c>
      <c r="E162" s="12">
        <v>44122</v>
      </c>
      <c r="F162" s="10" t="s">
        <v>12</v>
      </c>
      <c r="G162" s="11">
        <v>112650</v>
      </c>
      <c r="H162" s="10" t="s">
        <v>207</v>
      </c>
      <c r="I162" s="14">
        <f ca="1">(TODAY()-staff[[#This Row],[Date Joined]])/365</f>
        <v>5.0273972602739727</v>
      </c>
      <c r="J162" s="11">
        <f ca="1">IF(staff[[#This Row],[Tenure]]&gt;2,0.03,0.02)*staff[[#This Row],[Salary]]</f>
        <v>3379.5</v>
      </c>
      <c r="K162">
        <f>_xlfn.XLOOKUP(staff[[#This Row],[Rating]],$N$30:$N$34,$O$30:$O$34)</f>
        <v>3</v>
      </c>
    </row>
    <row r="163" spans="1:11" x14ac:dyDescent="0.25">
      <c r="A163" s="10" t="s">
        <v>178</v>
      </c>
      <c r="B163" s="10" t="s">
        <v>15</v>
      </c>
      <c r="C163" s="10">
        <v>34</v>
      </c>
      <c r="D163" s="10" t="s">
        <v>16</v>
      </c>
      <c r="E163" s="12">
        <v>44642</v>
      </c>
      <c r="F163" s="10" t="s">
        <v>9</v>
      </c>
      <c r="G163" s="11">
        <v>112650</v>
      </c>
      <c r="H163" s="10" t="s">
        <v>207</v>
      </c>
      <c r="I163" s="14">
        <f ca="1">(TODAY()-staff[[#This Row],[Date Joined]])/365</f>
        <v>3.6027397260273974</v>
      </c>
      <c r="J163" s="11">
        <f ca="1">IF(staff[[#This Row],[Tenure]]&gt;2,0.03,0.02)*staff[[#This Row],[Salary]]</f>
        <v>3379.5</v>
      </c>
      <c r="K163">
        <f>_xlfn.XLOOKUP(staff[[#This Row],[Rating]],$N$30:$N$34,$O$30:$O$34)</f>
        <v>3</v>
      </c>
    </row>
    <row r="164" spans="1:11" x14ac:dyDescent="0.25">
      <c r="A164" s="10" t="s">
        <v>64</v>
      </c>
      <c r="B164" s="10" t="s">
        <v>15</v>
      </c>
      <c r="C164" s="10">
        <v>20</v>
      </c>
      <c r="D164" s="10" t="s">
        <v>16</v>
      </c>
      <c r="E164" s="12">
        <v>44183</v>
      </c>
      <c r="F164" s="10" t="s">
        <v>12</v>
      </c>
      <c r="G164" s="11">
        <v>112650</v>
      </c>
      <c r="H164" s="10" t="s">
        <v>206</v>
      </c>
      <c r="I164" s="14">
        <f ca="1">(TODAY()-staff[[#This Row],[Date Joined]])/365</f>
        <v>4.86027397260274</v>
      </c>
      <c r="J164" s="11">
        <f ca="1">IF(staff[[#This Row],[Tenure]]&gt;2,0.03,0.02)*staff[[#This Row],[Salary]]</f>
        <v>3379.5</v>
      </c>
      <c r="K164">
        <f>_xlfn.XLOOKUP(staff[[#This Row],[Rating]],$N$30:$N$34,$O$30:$O$34)</f>
        <v>3</v>
      </c>
    </row>
    <row r="165" spans="1:11" x14ac:dyDescent="0.25">
      <c r="A165" s="10" t="s">
        <v>150</v>
      </c>
      <c r="B165" s="10" t="s">
        <v>15</v>
      </c>
      <c r="C165" s="10">
        <v>22</v>
      </c>
      <c r="D165" s="10" t="s">
        <v>13</v>
      </c>
      <c r="E165" s="12">
        <v>44384</v>
      </c>
      <c r="F165" s="10" t="s">
        <v>19</v>
      </c>
      <c r="G165" s="11">
        <v>112780</v>
      </c>
      <c r="H165" s="10" t="s">
        <v>207</v>
      </c>
      <c r="I165" s="14">
        <f ca="1">(TODAY()-staff[[#This Row],[Date Joined]])/365</f>
        <v>4.3095890410958901</v>
      </c>
      <c r="J165" s="11">
        <f ca="1">IF(staff[[#This Row],[Tenure]]&gt;2,0.03,0.02)*staff[[#This Row],[Salary]]</f>
        <v>3383.4</v>
      </c>
      <c r="K165">
        <f>_xlfn.XLOOKUP(staff[[#This Row],[Rating]],$N$30:$N$34,$O$30:$O$34)</f>
        <v>4</v>
      </c>
    </row>
    <row r="166" spans="1:11" x14ac:dyDescent="0.25">
      <c r="A166" s="10" t="s">
        <v>58</v>
      </c>
      <c r="B166" s="10" t="s">
        <v>15</v>
      </c>
      <c r="C166" s="10">
        <v>22</v>
      </c>
      <c r="D166" s="10" t="s">
        <v>13</v>
      </c>
      <c r="E166" s="12">
        <v>44446</v>
      </c>
      <c r="F166" s="10" t="s">
        <v>19</v>
      </c>
      <c r="G166" s="11">
        <v>112780</v>
      </c>
      <c r="H166" s="10" t="s">
        <v>206</v>
      </c>
      <c r="I166" s="14">
        <f ca="1">(TODAY()-staff[[#This Row],[Date Joined]])/365</f>
        <v>4.13972602739726</v>
      </c>
      <c r="J166" s="11">
        <f ca="1">IF(staff[[#This Row],[Tenure]]&gt;2,0.03,0.02)*staff[[#This Row],[Salary]]</f>
        <v>3383.4</v>
      </c>
      <c r="K166">
        <f>_xlfn.XLOOKUP(staff[[#This Row],[Rating]],$N$30:$N$34,$O$30:$O$34)</f>
        <v>4</v>
      </c>
    </row>
    <row r="167" spans="1:11" x14ac:dyDescent="0.25">
      <c r="A167" s="10" t="s">
        <v>191</v>
      </c>
      <c r="B167" s="10" t="s">
        <v>15</v>
      </c>
      <c r="C167" s="10">
        <v>27</v>
      </c>
      <c r="D167" s="10" t="s">
        <v>42</v>
      </c>
      <c r="E167" s="12">
        <v>44547</v>
      </c>
      <c r="F167" s="10" t="s">
        <v>9</v>
      </c>
      <c r="G167" s="11">
        <v>113280</v>
      </c>
      <c r="H167" s="10" t="s">
        <v>207</v>
      </c>
      <c r="I167" s="14">
        <f ca="1">(TODAY()-staff[[#This Row],[Date Joined]])/365</f>
        <v>3.8630136986301369</v>
      </c>
      <c r="J167" s="11">
        <f ca="1">IF(staff[[#This Row],[Tenure]]&gt;2,0.03,0.02)*staff[[#This Row],[Salary]]</f>
        <v>3398.4</v>
      </c>
      <c r="K167">
        <f>_xlfn.XLOOKUP(staff[[#This Row],[Rating]],$N$30:$N$34,$O$30:$O$34)</f>
        <v>1</v>
      </c>
    </row>
    <row r="168" spans="1:11" x14ac:dyDescent="0.25">
      <c r="A168" s="10" t="s">
        <v>98</v>
      </c>
      <c r="B168" s="10" t="s">
        <v>15</v>
      </c>
      <c r="C168" s="10">
        <v>27</v>
      </c>
      <c r="D168" s="10" t="s">
        <v>42</v>
      </c>
      <c r="E168" s="12">
        <v>44609</v>
      </c>
      <c r="F168" s="10" t="s">
        <v>9</v>
      </c>
      <c r="G168" s="11">
        <v>113280</v>
      </c>
      <c r="H168" s="10" t="s">
        <v>206</v>
      </c>
      <c r="I168" s="14">
        <f ca="1">(TODAY()-staff[[#This Row],[Date Joined]])/365</f>
        <v>3.6931506849315068</v>
      </c>
      <c r="J168" s="11">
        <f ca="1">IF(staff[[#This Row],[Tenure]]&gt;2,0.03,0.02)*staff[[#This Row],[Salary]]</f>
        <v>3398.4</v>
      </c>
      <c r="K168">
        <f>_xlfn.XLOOKUP(staff[[#This Row],[Rating]],$N$30:$N$34,$O$30:$O$34)</f>
        <v>1</v>
      </c>
    </row>
    <row r="169" spans="1:11" x14ac:dyDescent="0.25">
      <c r="A169" s="10" t="s">
        <v>147</v>
      </c>
      <c r="B169" s="10" t="s">
        <v>8</v>
      </c>
      <c r="C169" s="10">
        <v>30</v>
      </c>
      <c r="D169" s="10" t="s">
        <v>16</v>
      </c>
      <c r="E169" s="12">
        <v>44789</v>
      </c>
      <c r="F169" s="10" t="s">
        <v>9</v>
      </c>
      <c r="G169" s="11">
        <v>114180</v>
      </c>
      <c r="H169" s="10" t="s">
        <v>207</v>
      </c>
      <c r="I169" s="14">
        <f ca="1">(TODAY()-staff[[#This Row],[Date Joined]])/365</f>
        <v>3.2</v>
      </c>
      <c r="J169" s="11">
        <f ca="1">IF(staff[[#This Row],[Tenure]]&gt;2,0.03,0.02)*staff[[#This Row],[Salary]]</f>
        <v>3425.4</v>
      </c>
      <c r="K169">
        <f>_xlfn.XLOOKUP(staff[[#This Row],[Rating]],$N$30:$N$34,$O$30:$O$34)</f>
        <v>3</v>
      </c>
    </row>
    <row r="170" spans="1:11" x14ac:dyDescent="0.25">
      <c r="A170" s="10" t="s">
        <v>54</v>
      </c>
      <c r="B170" s="10" t="s">
        <v>8</v>
      </c>
      <c r="C170" s="10">
        <v>30</v>
      </c>
      <c r="D170" s="10" t="s">
        <v>16</v>
      </c>
      <c r="E170" s="12">
        <v>44850</v>
      </c>
      <c r="F170" s="10" t="s">
        <v>9</v>
      </c>
      <c r="G170" s="11">
        <v>114180</v>
      </c>
      <c r="H170" s="10" t="s">
        <v>206</v>
      </c>
      <c r="I170" s="14">
        <f ca="1">(TODAY()-staff[[#This Row],[Date Joined]])/365</f>
        <v>3.032876712328767</v>
      </c>
      <c r="J170" s="11">
        <f ca="1">IF(staff[[#This Row],[Tenure]]&gt;2,0.03,0.02)*staff[[#This Row],[Salary]]</f>
        <v>3425.4</v>
      </c>
      <c r="K170">
        <f>_xlfn.XLOOKUP(staff[[#This Row],[Rating]],$N$30:$N$34,$O$30:$O$34)</f>
        <v>3</v>
      </c>
    </row>
    <row r="171" spans="1:11" x14ac:dyDescent="0.25">
      <c r="A171" s="10" t="s">
        <v>114</v>
      </c>
      <c r="B171" s="10" t="s">
        <v>8</v>
      </c>
      <c r="C171" s="10">
        <v>44</v>
      </c>
      <c r="D171" s="10" t="s">
        <v>16</v>
      </c>
      <c r="E171" s="12">
        <v>44985</v>
      </c>
      <c r="F171" s="10" t="s">
        <v>12</v>
      </c>
      <c r="G171" s="11">
        <v>114870</v>
      </c>
      <c r="H171" s="10" t="s">
        <v>207</v>
      </c>
      <c r="I171" s="14">
        <f ca="1">(TODAY()-staff[[#This Row],[Date Joined]])/365</f>
        <v>2.6630136986301371</v>
      </c>
      <c r="J171" s="11">
        <f ca="1">IF(staff[[#This Row],[Tenure]]&gt;2,0.03,0.02)*staff[[#This Row],[Salary]]</f>
        <v>3446.1</v>
      </c>
      <c r="K171">
        <f>_xlfn.XLOOKUP(staff[[#This Row],[Rating]],$N$30:$N$34,$O$30:$O$34)</f>
        <v>3</v>
      </c>
    </row>
    <row r="172" spans="1:11" x14ac:dyDescent="0.25">
      <c r="A172" s="10" t="s">
        <v>17</v>
      </c>
      <c r="B172" s="10" t="s">
        <v>8</v>
      </c>
      <c r="C172" s="10">
        <v>43</v>
      </c>
      <c r="D172" s="10" t="s">
        <v>16</v>
      </c>
      <c r="E172" s="12">
        <v>45045</v>
      </c>
      <c r="F172" s="10" t="s">
        <v>12</v>
      </c>
      <c r="G172" s="11">
        <v>114870</v>
      </c>
      <c r="H172" s="10" t="s">
        <v>206</v>
      </c>
      <c r="I172" s="14">
        <f ca="1">(TODAY()-staff[[#This Row],[Date Joined]])/365</f>
        <v>2.4986301369863013</v>
      </c>
      <c r="J172" s="11">
        <f ca="1">IF(staff[[#This Row],[Tenure]]&gt;2,0.03,0.02)*staff[[#This Row],[Salary]]</f>
        <v>3446.1</v>
      </c>
      <c r="K172">
        <f>_xlfn.XLOOKUP(staff[[#This Row],[Rating]],$N$30:$N$34,$O$30:$O$34)</f>
        <v>3</v>
      </c>
    </row>
    <row r="173" spans="1:11" x14ac:dyDescent="0.25">
      <c r="A173" s="10" t="s">
        <v>175</v>
      </c>
      <c r="B173" s="10" t="s">
        <v>8</v>
      </c>
      <c r="C173" s="10">
        <v>36</v>
      </c>
      <c r="D173" s="10" t="s">
        <v>16</v>
      </c>
      <c r="E173" s="12">
        <v>44023</v>
      </c>
      <c r="F173" s="10" t="s">
        <v>9</v>
      </c>
      <c r="G173" s="11">
        <v>114890</v>
      </c>
      <c r="H173" s="10" t="s">
        <v>207</v>
      </c>
      <c r="I173" s="14">
        <f ca="1">(TODAY()-staff[[#This Row],[Date Joined]])/365</f>
        <v>5.2986301369863016</v>
      </c>
      <c r="J173" s="11">
        <f ca="1">IF(staff[[#This Row],[Tenure]]&gt;2,0.03,0.02)*staff[[#This Row],[Salary]]</f>
        <v>3446.7</v>
      </c>
      <c r="K173">
        <f>_xlfn.XLOOKUP(staff[[#This Row],[Rating]],$N$30:$N$34,$O$30:$O$34)</f>
        <v>3</v>
      </c>
    </row>
    <row r="174" spans="1:11" x14ac:dyDescent="0.25">
      <c r="A174" s="10" t="s">
        <v>83</v>
      </c>
      <c r="B174" s="10" t="s">
        <v>8</v>
      </c>
      <c r="C174" s="10">
        <v>36</v>
      </c>
      <c r="D174" s="10" t="s">
        <v>16</v>
      </c>
      <c r="E174" s="12">
        <v>44085</v>
      </c>
      <c r="F174" s="10" t="s">
        <v>9</v>
      </c>
      <c r="G174" s="11">
        <v>114890</v>
      </c>
      <c r="H174" s="10" t="s">
        <v>206</v>
      </c>
      <c r="I174" s="14">
        <f ca="1">(TODAY()-staff[[#This Row],[Date Joined]])/365</f>
        <v>5.1287671232876715</v>
      </c>
      <c r="J174" s="11">
        <f ca="1">IF(staff[[#This Row],[Tenure]]&gt;2,0.03,0.02)*staff[[#This Row],[Salary]]</f>
        <v>3446.7</v>
      </c>
      <c r="K174">
        <f>_xlfn.XLOOKUP(staff[[#This Row],[Rating]],$N$30:$N$34,$O$30:$O$34)</f>
        <v>3</v>
      </c>
    </row>
    <row r="175" spans="1:11" x14ac:dyDescent="0.25">
      <c r="A175" s="10" t="s">
        <v>142</v>
      </c>
      <c r="B175" s="10" t="s">
        <v>208</v>
      </c>
      <c r="C175" s="10">
        <v>37</v>
      </c>
      <c r="D175" s="10" t="s">
        <v>24</v>
      </c>
      <c r="E175" s="12">
        <v>44085</v>
      </c>
      <c r="F175" s="10" t="s">
        <v>21</v>
      </c>
      <c r="G175" s="11">
        <v>115440</v>
      </c>
      <c r="H175" s="10" t="s">
        <v>207</v>
      </c>
      <c r="I175" s="14">
        <f ca="1">(TODAY()-staff[[#This Row],[Date Joined]])/365</f>
        <v>5.1287671232876715</v>
      </c>
      <c r="J175" s="11">
        <f ca="1">IF(staff[[#This Row],[Tenure]]&gt;2,0.03,0.02)*staff[[#This Row],[Salary]]</f>
        <v>3463.2</v>
      </c>
      <c r="K175">
        <f>_xlfn.XLOOKUP(staff[[#This Row],[Rating]],$N$30:$N$34,$O$30:$O$34)</f>
        <v>2</v>
      </c>
    </row>
    <row r="176" spans="1:11" x14ac:dyDescent="0.25">
      <c r="A176" s="10" t="s">
        <v>49</v>
      </c>
      <c r="B176" s="10" t="s">
        <v>208</v>
      </c>
      <c r="C176" s="10">
        <v>37</v>
      </c>
      <c r="D176" s="10" t="s">
        <v>24</v>
      </c>
      <c r="E176" s="12">
        <v>44146</v>
      </c>
      <c r="F176" s="10" t="s">
        <v>21</v>
      </c>
      <c r="G176" s="11">
        <v>115440</v>
      </c>
      <c r="H176" s="10" t="s">
        <v>206</v>
      </c>
      <c r="I176" s="14">
        <f ca="1">(TODAY()-staff[[#This Row],[Date Joined]])/365</f>
        <v>4.9616438356164387</v>
      </c>
      <c r="J176" s="11">
        <f ca="1">IF(staff[[#This Row],[Tenure]]&gt;2,0.03,0.02)*staff[[#This Row],[Salary]]</f>
        <v>3463.2</v>
      </c>
      <c r="K176">
        <f>_xlfn.XLOOKUP(staff[[#This Row],[Rating]],$N$30:$N$34,$O$30:$O$34)</f>
        <v>2</v>
      </c>
    </row>
    <row r="177" spans="1:11" x14ac:dyDescent="0.25">
      <c r="A177" s="10" t="s">
        <v>134</v>
      </c>
      <c r="B177" s="10" t="s">
        <v>15</v>
      </c>
      <c r="C177" s="10">
        <v>33</v>
      </c>
      <c r="D177" s="10" t="s">
        <v>16</v>
      </c>
      <c r="E177" s="12">
        <v>44103</v>
      </c>
      <c r="F177" s="10" t="s">
        <v>9</v>
      </c>
      <c r="G177" s="11">
        <v>115920</v>
      </c>
      <c r="H177" s="10" t="s">
        <v>207</v>
      </c>
      <c r="I177" s="14">
        <f ca="1">(TODAY()-staff[[#This Row],[Date Joined]])/365</f>
        <v>5.0794520547945208</v>
      </c>
      <c r="J177" s="11">
        <f ca="1">IF(staff[[#This Row],[Tenure]]&gt;2,0.03,0.02)*staff[[#This Row],[Salary]]</f>
        <v>3477.6</v>
      </c>
      <c r="K177">
        <f>_xlfn.XLOOKUP(staff[[#This Row],[Rating]],$N$30:$N$34,$O$30:$O$34)</f>
        <v>3</v>
      </c>
    </row>
    <row r="178" spans="1:11" x14ac:dyDescent="0.25">
      <c r="A178" s="10" t="s">
        <v>40</v>
      </c>
      <c r="B178" s="10" t="s">
        <v>15</v>
      </c>
      <c r="C178" s="10">
        <v>33</v>
      </c>
      <c r="D178" s="10" t="s">
        <v>16</v>
      </c>
      <c r="E178" s="12">
        <v>44164</v>
      </c>
      <c r="F178" s="10" t="s">
        <v>9</v>
      </c>
      <c r="G178" s="11">
        <v>115920</v>
      </c>
      <c r="H178" s="10" t="s">
        <v>206</v>
      </c>
      <c r="I178" s="14">
        <f ca="1">(TODAY()-staff[[#This Row],[Date Joined]])/365</f>
        <v>4.912328767123288</v>
      </c>
      <c r="J178" s="11">
        <f ca="1">IF(staff[[#This Row],[Tenure]]&gt;2,0.03,0.02)*staff[[#This Row],[Salary]]</f>
        <v>3477.6</v>
      </c>
      <c r="K178">
        <f>_xlfn.XLOOKUP(staff[[#This Row],[Rating]],$N$30:$N$34,$O$30:$O$34)</f>
        <v>3</v>
      </c>
    </row>
    <row r="179" spans="1:11" x14ac:dyDescent="0.25">
      <c r="A179" s="10" t="s">
        <v>148</v>
      </c>
      <c r="B179" s="10" t="s">
        <v>8</v>
      </c>
      <c r="C179" s="10">
        <v>37</v>
      </c>
      <c r="D179" s="10" t="s">
        <v>16</v>
      </c>
      <c r="E179" s="12">
        <v>44389</v>
      </c>
      <c r="F179" s="10" t="s">
        <v>56</v>
      </c>
      <c r="G179" s="11">
        <v>118100</v>
      </c>
      <c r="H179" s="10" t="s">
        <v>207</v>
      </c>
      <c r="I179" s="14">
        <f ca="1">(TODAY()-staff[[#This Row],[Date Joined]])/365</f>
        <v>4.2958904109589042</v>
      </c>
      <c r="J179" s="11">
        <f ca="1">IF(staff[[#This Row],[Tenure]]&gt;2,0.03,0.02)*staff[[#This Row],[Salary]]</f>
        <v>3543</v>
      </c>
      <c r="K179">
        <f>_xlfn.XLOOKUP(staff[[#This Row],[Rating]],$N$30:$N$34,$O$30:$O$34)</f>
        <v>3</v>
      </c>
    </row>
    <row r="180" spans="1:11" x14ac:dyDescent="0.25">
      <c r="A180" s="10" t="s">
        <v>55</v>
      </c>
      <c r="B180" s="10" t="s">
        <v>8</v>
      </c>
      <c r="C180" s="10">
        <v>37</v>
      </c>
      <c r="D180" s="10" t="s">
        <v>16</v>
      </c>
      <c r="E180" s="12">
        <v>44451</v>
      </c>
      <c r="F180" s="10" t="s">
        <v>56</v>
      </c>
      <c r="G180" s="11">
        <v>118100</v>
      </c>
      <c r="H180" s="10" t="s">
        <v>206</v>
      </c>
      <c r="I180" s="14">
        <f ca="1">(TODAY()-staff[[#This Row],[Date Joined]])/365</f>
        <v>4.1260273972602741</v>
      </c>
      <c r="J180" s="11">
        <f ca="1">IF(staff[[#This Row],[Tenure]]&gt;2,0.03,0.02)*staff[[#This Row],[Salary]]</f>
        <v>3543</v>
      </c>
      <c r="K180">
        <f>_xlfn.XLOOKUP(staff[[#This Row],[Rating]],$N$30:$N$34,$O$30:$O$34)</f>
        <v>3</v>
      </c>
    </row>
    <row r="181" spans="1:11" x14ac:dyDescent="0.25">
      <c r="A181" s="10" t="s">
        <v>199</v>
      </c>
      <c r="B181" s="10" t="s">
        <v>15</v>
      </c>
      <c r="C181" s="10">
        <v>36</v>
      </c>
      <c r="D181" s="10" t="s">
        <v>16</v>
      </c>
      <c r="E181" s="12">
        <v>43958</v>
      </c>
      <c r="F181" s="10" t="s">
        <v>12</v>
      </c>
      <c r="G181" s="11">
        <v>118840</v>
      </c>
      <c r="H181" s="10" t="s">
        <v>207</v>
      </c>
      <c r="I181" s="14">
        <f ca="1">(TODAY()-staff[[#This Row],[Date Joined]])/365</f>
        <v>5.4767123287671229</v>
      </c>
      <c r="J181" s="11">
        <f ca="1">IF(staff[[#This Row],[Tenure]]&gt;2,0.03,0.02)*staff[[#This Row],[Salary]]</f>
        <v>3565.2</v>
      </c>
      <c r="K181">
        <f>_xlfn.XLOOKUP(staff[[#This Row],[Rating]],$N$30:$N$34,$O$30:$O$34)</f>
        <v>3</v>
      </c>
    </row>
    <row r="182" spans="1:11" x14ac:dyDescent="0.25">
      <c r="A182" s="10" t="s">
        <v>106</v>
      </c>
      <c r="B182" s="10" t="s">
        <v>15</v>
      </c>
      <c r="C182" s="10">
        <v>36</v>
      </c>
      <c r="D182" s="10" t="s">
        <v>16</v>
      </c>
      <c r="E182" s="12">
        <v>44019</v>
      </c>
      <c r="F182" s="10" t="s">
        <v>12</v>
      </c>
      <c r="G182" s="11">
        <v>118840</v>
      </c>
      <c r="H182" s="10" t="s">
        <v>206</v>
      </c>
      <c r="I182" s="14">
        <f ca="1">(TODAY()-staff[[#This Row],[Date Joined]])/365</f>
        <v>5.3095890410958901</v>
      </c>
      <c r="J182" s="11">
        <f ca="1">IF(staff[[#This Row],[Tenure]]&gt;2,0.03,0.02)*staff[[#This Row],[Salary]]</f>
        <v>3565.2</v>
      </c>
      <c r="K182">
        <f>_xlfn.XLOOKUP(staff[[#This Row],[Rating]],$N$30:$N$34,$O$30:$O$34)</f>
        <v>3</v>
      </c>
    </row>
    <row r="183" spans="1:11" x14ac:dyDescent="0.25">
      <c r="A183" s="10" t="s">
        <v>152</v>
      </c>
      <c r="B183" s="10" t="s">
        <v>8</v>
      </c>
      <c r="C183" s="10">
        <v>27</v>
      </c>
      <c r="D183" s="10" t="s">
        <v>16</v>
      </c>
      <c r="E183" s="12">
        <v>44061</v>
      </c>
      <c r="F183" s="10" t="s">
        <v>56</v>
      </c>
      <c r="G183" s="11">
        <v>119110</v>
      </c>
      <c r="H183" s="10" t="s">
        <v>207</v>
      </c>
      <c r="I183" s="14">
        <f ca="1">(TODAY()-staff[[#This Row],[Date Joined]])/365</f>
        <v>5.1945205479452055</v>
      </c>
      <c r="J183" s="11">
        <f ca="1">IF(staff[[#This Row],[Tenure]]&gt;2,0.03,0.02)*staff[[#This Row],[Salary]]</f>
        <v>3573.2999999999997</v>
      </c>
      <c r="K183">
        <f>_xlfn.XLOOKUP(staff[[#This Row],[Rating]],$N$30:$N$34,$O$30:$O$34)</f>
        <v>3</v>
      </c>
    </row>
    <row r="184" spans="1:11" x14ac:dyDescent="0.25">
      <c r="A184" s="10" t="s">
        <v>60</v>
      </c>
      <c r="B184" s="10" t="s">
        <v>8</v>
      </c>
      <c r="C184" s="10">
        <v>27</v>
      </c>
      <c r="D184" s="10" t="s">
        <v>16</v>
      </c>
      <c r="E184" s="12">
        <v>44122</v>
      </c>
      <c r="F184" s="10" t="s">
        <v>56</v>
      </c>
      <c r="G184" s="11">
        <v>119110</v>
      </c>
      <c r="H184" s="10" t="s">
        <v>206</v>
      </c>
      <c r="I184" s="14">
        <f ca="1">(TODAY()-staff[[#This Row],[Date Joined]])/365</f>
        <v>5.0273972602739727</v>
      </c>
      <c r="J184" s="11">
        <f ca="1">IF(staff[[#This Row],[Tenure]]&gt;2,0.03,0.02)*staff[[#This Row],[Salary]]</f>
        <v>3573.2999999999997</v>
      </c>
      <c r="K184">
        <f>_xlfn.XLOOKUP(staff[[#This Row],[Rating]],$N$30:$N$34,$O$30:$O$34)</f>
        <v>3</v>
      </c>
    </row>
  </sheetData>
  <mergeCells count="1">
    <mergeCell ref="N29:O29"/>
  </mergeCells>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05059-7142-47F2-9AB1-F7EF21B65D87}">
  <dimension ref="B2:H56"/>
  <sheetViews>
    <sheetView workbookViewId="0">
      <selection activeCell="D6" sqref="D6"/>
    </sheetView>
  </sheetViews>
  <sheetFormatPr defaultRowHeight="15" x14ac:dyDescent="0.25"/>
  <cols>
    <col min="3" max="3" width="32.5703125" customWidth="1"/>
    <col min="4" max="4" width="15" customWidth="1"/>
    <col min="5" max="5" width="15.42578125" customWidth="1"/>
    <col min="6" max="6" width="30" bestFit="1" customWidth="1"/>
    <col min="7" max="7" width="15.7109375" customWidth="1"/>
    <col min="8" max="8" width="16.85546875" customWidth="1"/>
  </cols>
  <sheetData>
    <row r="2" spans="2:8" x14ac:dyDescent="0.25">
      <c r="B2" s="22">
        <v>2</v>
      </c>
      <c r="C2" t="s">
        <v>243</v>
      </c>
      <c r="F2" s="23" t="s">
        <v>0</v>
      </c>
      <c r="G2" s="23" t="s">
        <v>5</v>
      </c>
      <c r="H2" s="23" t="s">
        <v>6</v>
      </c>
    </row>
    <row r="3" spans="2:8" x14ac:dyDescent="0.25">
      <c r="F3" t="str" cm="1">
        <f t="array" aca="1" ref="F3:H56" ca="1">_xlfn._xlws.SORT(_xlfn.CHOOSECOLS(_xlfn._xlws.FILTER(staff[],staff[Department]=D5),1,7,4),2,-1)</f>
        <v>Heer Pennathur</v>
      </c>
      <c r="G3" s="11">
        <f ca="1"/>
        <v>118840</v>
      </c>
      <c r="H3" t="str">
        <f ca="1"/>
        <v>Average</v>
      </c>
    </row>
    <row r="4" spans="2:8" x14ac:dyDescent="0.25">
      <c r="F4" t="str">
        <f ca="1"/>
        <v>Tawnya Tickel</v>
      </c>
      <c r="G4" s="11">
        <f ca="1"/>
        <v>118840</v>
      </c>
      <c r="H4" t="str">
        <f ca="1"/>
        <v>Average</v>
      </c>
    </row>
    <row r="5" spans="2:8" x14ac:dyDescent="0.25">
      <c r="C5" s="29" t="s">
        <v>217</v>
      </c>
      <c r="D5" s="33" t="s">
        <v>12</v>
      </c>
      <c r="F5" t="str">
        <f ca="1"/>
        <v>Ramnath Ravuri</v>
      </c>
      <c r="G5" s="11">
        <f ca="1"/>
        <v>114870</v>
      </c>
      <c r="H5" t="str">
        <f ca="1"/>
        <v>Average</v>
      </c>
    </row>
    <row r="6" spans="2:8" x14ac:dyDescent="0.25">
      <c r="C6" s="29" t="s">
        <v>218</v>
      </c>
      <c r="D6" s="33">
        <f>COUNTIFS(staff[Department],D5)</f>
        <v>54</v>
      </c>
      <c r="F6" t="str">
        <f ca="1"/>
        <v>Wilone O'Kielt</v>
      </c>
      <c r="G6" s="11">
        <f ca="1"/>
        <v>114870</v>
      </c>
      <c r="H6" t="str">
        <f ca="1"/>
        <v>Average</v>
      </c>
    </row>
    <row r="7" spans="2:8" x14ac:dyDescent="0.25">
      <c r="F7" t="str">
        <f ca="1"/>
        <v>Deepali Charan</v>
      </c>
      <c r="G7" s="11">
        <f ca="1"/>
        <v>112650</v>
      </c>
      <c r="H7" t="str">
        <f ca="1"/>
        <v>Average</v>
      </c>
    </row>
    <row r="8" spans="2:8" x14ac:dyDescent="0.25">
      <c r="F8" t="str">
        <f ca="1"/>
        <v>Mollie Hanway</v>
      </c>
      <c r="G8" s="11">
        <f ca="1"/>
        <v>112650</v>
      </c>
      <c r="H8" t="str">
        <f ca="1"/>
        <v>Average</v>
      </c>
    </row>
    <row r="9" spans="2:8" x14ac:dyDescent="0.25">
      <c r="F9" t="str">
        <f ca="1"/>
        <v>Narois Motiwala</v>
      </c>
      <c r="G9" s="11">
        <f ca="1"/>
        <v>112110</v>
      </c>
      <c r="H9" t="str">
        <f ca="1"/>
        <v>Poor</v>
      </c>
    </row>
    <row r="10" spans="2:8" x14ac:dyDescent="0.25">
      <c r="F10" t="str">
        <f ca="1"/>
        <v>Bev Lashley</v>
      </c>
      <c r="G10" s="11">
        <f ca="1"/>
        <v>112110</v>
      </c>
      <c r="H10" t="str">
        <f ca="1"/>
        <v>Poor</v>
      </c>
    </row>
    <row r="11" spans="2:8" x14ac:dyDescent="0.25">
      <c r="F11" t="str">
        <f ca="1"/>
        <v>Hridaynath Tendulkar</v>
      </c>
      <c r="G11" s="11">
        <f ca="1"/>
        <v>107700</v>
      </c>
      <c r="H11" t="str">
        <f ca="1"/>
        <v>Average</v>
      </c>
    </row>
    <row r="12" spans="2:8" x14ac:dyDescent="0.25">
      <c r="F12" t="str">
        <f ca="1"/>
        <v>Kaine Padly</v>
      </c>
      <c r="G12" s="11">
        <f ca="1"/>
        <v>107700</v>
      </c>
      <c r="H12" t="str">
        <f ca="1"/>
        <v>Average</v>
      </c>
    </row>
    <row r="13" spans="2:8" x14ac:dyDescent="0.25">
      <c r="F13" t="str">
        <f ca="1"/>
        <v>Manjusri Ruchi</v>
      </c>
      <c r="G13" s="11">
        <f ca="1"/>
        <v>104410</v>
      </c>
      <c r="H13" t="str">
        <f ca="1"/>
        <v>Average</v>
      </c>
    </row>
    <row r="14" spans="2:8" x14ac:dyDescent="0.25">
      <c r="F14" t="str">
        <f ca="1"/>
        <v>Caro Chappel</v>
      </c>
      <c r="G14" s="11">
        <f ca="1"/>
        <v>104410</v>
      </c>
      <c r="H14" t="str">
        <f ca="1"/>
        <v>Average</v>
      </c>
    </row>
    <row r="15" spans="2:8" x14ac:dyDescent="0.25">
      <c r="F15" t="str">
        <f ca="1"/>
        <v>Amlankusum Rajabhushan</v>
      </c>
      <c r="G15" s="11">
        <f ca="1"/>
        <v>100420</v>
      </c>
      <c r="H15" t="str">
        <f ca="1"/>
        <v>Average</v>
      </c>
    </row>
    <row r="16" spans="2:8" x14ac:dyDescent="0.25">
      <c r="F16" t="str">
        <f ca="1"/>
        <v>Collin Jagson</v>
      </c>
      <c r="G16" s="11">
        <f ca="1"/>
        <v>100420</v>
      </c>
      <c r="H16" t="str">
        <f ca="1"/>
        <v>Average</v>
      </c>
    </row>
    <row r="17" spans="6:8" x14ac:dyDescent="0.25">
      <c r="F17" t="str">
        <f ca="1"/>
        <v>Sukhdev Nageshwar</v>
      </c>
      <c r="G17" s="11">
        <f ca="1"/>
        <v>96140</v>
      </c>
      <c r="H17" t="str">
        <f ca="1"/>
        <v>Average</v>
      </c>
    </row>
    <row r="18" spans="6:8" x14ac:dyDescent="0.25">
      <c r="F18" t="str">
        <f ca="1"/>
        <v>Torrance Collier</v>
      </c>
      <c r="G18" s="11">
        <f ca="1"/>
        <v>96140</v>
      </c>
      <c r="H18" t="str">
        <f ca="1"/>
        <v>Average</v>
      </c>
    </row>
    <row r="19" spans="6:8" x14ac:dyDescent="0.25">
      <c r="F19" t="str">
        <f ca="1"/>
        <v>Rukma Vinita</v>
      </c>
      <c r="G19" s="11">
        <f ca="1"/>
        <v>91310</v>
      </c>
      <c r="H19" t="str">
        <f ca="1"/>
        <v>Average</v>
      </c>
    </row>
    <row r="20" spans="6:8" x14ac:dyDescent="0.25">
      <c r="F20" t="str">
        <f ca="1"/>
        <v>Madge McCloughen</v>
      </c>
      <c r="G20" s="11">
        <f ca="1"/>
        <v>91310</v>
      </c>
      <c r="H20" t="str">
        <f ca="1"/>
        <v>Average</v>
      </c>
    </row>
    <row r="21" spans="6:8" x14ac:dyDescent="0.25">
      <c r="F21" t="str">
        <f ca="1"/>
        <v>Karuna Pashupathy</v>
      </c>
      <c r="G21" s="11">
        <f ca="1"/>
        <v>90700</v>
      </c>
      <c r="H21" t="str">
        <f ca="1"/>
        <v>Above average</v>
      </c>
    </row>
    <row r="22" spans="6:8" x14ac:dyDescent="0.25">
      <c r="F22" t="str">
        <f ca="1"/>
        <v>Dennison Crosswaite</v>
      </c>
      <c r="G22" s="11">
        <f ca="1"/>
        <v>90700</v>
      </c>
      <c r="H22" t="str">
        <f ca="1"/>
        <v>Above average</v>
      </c>
    </row>
    <row r="23" spans="6:8" x14ac:dyDescent="0.25">
      <c r="F23" t="str">
        <f ca="1"/>
        <v>Gangadutt Ragha</v>
      </c>
      <c r="G23" s="11">
        <f ca="1"/>
        <v>88050</v>
      </c>
      <c r="H23" t="str">
        <f ca="1"/>
        <v>Poor</v>
      </c>
    </row>
    <row r="24" spans="6:8" x14ac:dyDescent="0.25">
      <c r="F24" t="str">
        <f ca="1"/>
        <v>Ches Bonnell</v>
      </c>
      <c r="G24" s="11">
        <f ca="1"/>
        <v>88050</v>
      </c>
      <c r="H24" t="str">
        <f ca="1"/>
        <v>Poor</v>
      </c>
    </row>
    <row r="25" spans="6:8" x14ac:dyDescent="0.25">
      <c r="F25" t="str">
        <f ca="1"/>
        <v>Godavari Veena</v>
      </c>
      <c r="G25" s="11">
        <f ca="1"/>
        <v>87620</v>
      </c>
      <c r="H25" t="str">
        <f ca="1"/>
        <v>Average</v>
      </c>
    </row>
    <row r="26" spans="6:8" x14ac:dyDescent="0.25">
      <c r="F26" t="str">
        <f ca="1"/>
        <v>Merrilee Plenty</v>
      </c>
      <c r="G26" s="11">
        <f ca="1"/>
        <v>87620</v>
      </c>
      <c r="H26" t="str">
        <f ca="1"/>
        <v>Average</v>
      </c>
    </row>
    <row r="27" spans="6:8" x14ac:dyDescent="0.25">
      <c r="F27" t="str">
        <f ca="1"/>
        <v>Kunja Prashanta Vibha</v>
      </c>
      <c r="G27" s="11">
        <f ca="1"/>
        <v>83750</v>
      </c>
      <c r="H27" t="str">
        <f ca="1"/>
        <v>Average</v>
      </c>
    </row>
    <row r="28" spans="6:8" x14ac:dyDescent="0.25">
      <c r="F28" t="str">
        <f ca="1"/>
        <v>Agnes Collicott</v>
      </c>
      <c r="G28" s="11">
        <f ca="1"/>
        <v>83750</v>
      </c>
      <c r="H28" t="str">
        <f ca="1"/>
        <v>Average</v>
      </c>
    </row>
    <row r="29" spans="6:8" x14ac:dyDescent="0.25">
      <c r="F29" t="str">
        <f ca="1"/>
        <v>Bhuvan Pals</v>
      </c>
      <c r="G29" s="11">
        <f ca="1"/>
        <v>80700</v>
      </c>
      <c r="H29" t="str">
        <f ca="1"/>
        <v>Above average</v>
      </c>
    </row>
    <row r="30" spans="6:8" x14ac:dyDescent="0.25">
      <c r="F30" t="str">
        <f ca="1"/>
        <v>Van Tuxwell</v>
      </c>
      <c r="G30" s="11">
        <f ca="1"/>
        <v>80700</v>
      </c>
      <c r="H30" t="str">
        <f ca="1"/>
        <v>Above average</v>
      </c>
    </row>
    <row r="31" spans="6:8" x14ac:dyDescent="0.25">
      <c r="F31" t="str">
        <f ca="1"/>
        <v>Ayog Chakrabarti</v>
      </c>
      <c r="G31">
        <f ca="1"/>
        <v>75480</v>
      </c>
      <c r="H31" t="str">
        <f ca="1"/>
        <v>Very poor</v>
      </c>
    </row>
    <row r="32" spans="6:8" x14ac:dyDescent="0.25">
      <c r="F32" t="str">
        <f ca="1"/>
        <v>Camilla Castle</v>
      </c>
      <c r="G32">
        <f ca="1"/>
        <v>75480</v>
      </c>
      <c r="H32" t="str">
        <f ca="1"/>
        <v>Very poor</v>
      </c>
    </row>
    <row r="33" spans="6:8" x14ac:dyDescent="0.25">
      <c r="F33" t="str">
        <f ca="1"/>
        <v>Hemavati Muthiah</v>
      </c>
      <c r="G33">
        <f ca="1"/>
        <v>75280</v>
      </c>
      <c r="H33" t="str">
        <f ca="1"/>
        <v>Average</v>
      </c>
    </row>
    <row r="34" spans="6:8" x14ac:dyDescent="0.25">
      <c r="F34" t="str">
        <f ca="1"/>
        <v>Elia Cockton</v>
      </c>
      <c r="G34">
        <f ca="1"/>
        <v>75280</v>
      </c>
      <c r="H34" t="str">
        <f ca="1"/>
        <v>Average</v>
      </c>
    </row>
    <row r="35" spans="6:8" x14ac:dyDescent="0.25">
      <c r="F35" t="str">
        <f ca="1"/>
        <v>Shekhar Eswara</v>
      </c>
      <c r="G35">
        <f ca="1"/>
        <v>69710</v>
      </c>
      <c r="H35" t="str">
        <f ca="1"/>
        <v>Average</v>
      </c>
    </row>
    <row r="36" spans="6:8" x14ac:dyDescent="0.25">
      <c r="F36" t="str">
        <f ca="1"/>
        <v>Myer McCory</v>
      </c>
      <c r="G36">
        <f ca="1"/>
        <v>69710</v>
      </c>
      <c r="H36" t="str">
        <f ca="1"/>
        <v>Average</v>
      </c>
    </row>
    <row r="37" spans="6:8" x14ac:dyDescent="0.25">
      <c r="F37" t="str">
        <f ca="1"/>
        <v>Rameshwari Chikodi</v>
      </c>
      <c r="G37">
        <f ca="1"/>
        <v>69120</v>
      </c>
      <c r="H37" t="str">
        <f ca="1"/>
        <v>Average</v>
      </c>
    </row>
    <row r="38" spans="6:8" x14ac:dyDescent="0.25">
      <c r="F38" t="str">
        <f ca="1"/>
        <v>Andria Kimpton</v>
      </c>
      <c r="G38">
        <f ca="1"/>
        <v>69120</v>
      </c>
      <c r="H38" t="str">
        <f ca="1"/>
        <v>Average</v>
      </c>
    </row>
    <row r="39" spans="6:8" x14ac:dyDescent="0.25">
      <c r="F39" t="str">
        <f ca="1"/>
        <v>Jaishree Atasi Yavatkar</v>
      </c>
      <c r="G39">
        <f ca="1"/>
        <v>69070</v>
      </c>
      <c r="H39" t="str">
        <f ca="1"/>
        <v>Average</v>
      </c>
    </row>
    <row r="40" spans="6:8" x14ac:dyDescent="0.25">
      <c r="F40" t="str">
        <f ca="1"/>
        <v>Murry Dryburgh</v>
      </c>
      <c r="G40">
        <f ca="1"/>
        <v>69070</v>
      </c>
      <c r="H40" t="str">
        <f ca="1"/>
        <v>Average</v>
      </c>
    </row>
    <row r="41" spans="6:8" x14ac:dyDescent="0.25">
      <c r="F41" t="str">
        <f ca="1"/>
        <v>Fullara Sushanti Mokate</v>
      </c>
      <c r="G41">
        <f ca="1"/>
        <v>62780</v>
      </c>
      <c r="H41" t="str">
        <f ca="1"/>
        <v>Average</v>
      </c>
    </row>
    <row r="42" spans="6:8" x14ac:dyDescent="0.25">
      <c r="F42" t="str">
        <f ca="1"/>
        <v>Vic Radolf</v>
      </c>
      <c r="G42">
        <f ca="1"/>
        <v>62780</v>
      </c>
      <c r="H42" t="str">
        <f ca="1"/>
        <v>Average</v>
      </c>
    </row>
    <row r="43" spans="6:8" x14ac:dyDescent="0.25">
      <c r="F43" t="str">
        <f ca="1"/>
        <v>Pratigya Rema</v>
      </c>
      <c r="G43">
        <f ca="1"/>
        <v>58100</v>
      </c>
      <c r="H43" t="str">
        <f ca="1"/>
        <v>Average</v>
      </c>
    </row>
    <row r="44" spans="6:8" x14ac:dyDescent="0.25">
      <c r="F44" t="str">
        <f ca="1"/>
        <v>Brien Boise</v>
      </c>
      <c r="G44">
        <f ca="1"/>
        <v>58100</v>
      </c>
      <c r="H44" t="str">
        <f ca="1"/>
        <v>Average</v>
      </c>
    </row>
    <row r="45" spans="6:8" x14ac:dyDescent="0.25">
      <c r="F45" t="str">
        <f ca="1"/>
        <v>Pragya Nilufar</v>
      </c>
      <c r="G45">
        <f ca="1"/>
        <v>53870</v>
      </c>
      <c r="H45" t="str">
        <f ca="1"/>
        <v>Average</v>
      </c>
    </row>
    <row r="46" spans="6:8" x14ac:dyDescent="0.25">
      <c r="F46" t="str">
        <f ca="1"/>
        <v>William Reeveley</v>
      </c>
      <c r="G46">
        <f ca="1"/>
        <v>53870</v>
      </c>
      <c r="H46" t="str">
        <f ca="1"/>
        <v>Average</v>
      </c>
    </row>
    <row r="47" spans="6:8" x14ac:dyDescent="0.25">
      <c r="F47" t="str">
        <f ca="1"/>
        <v>Amal Nimesh</v>
      </c>
      <c r="G47">
        <f ca="1"/>
        <v>48950</v>
      </c>
      <c r="H47" t="str">
        <f ca="1"/>
        <v>Average</v>
      </c>
    </row>
    <row r="48" spans="6:8" x14ac:dyDescent="0.25">
      <c r="F48" t="str">
        <f ca="1"/>
        <v>Gunar Cockshoot</v>
      </c>
      <c r="G48">
        <f ca="1"/>
        <v>48950</v>
      </c>
      <c r="H48" t="str">
        <f ca="1"/>
        <v>Average</v>
      </c>
    </row>
    <row r="49" spans="6:8" x14ac:dyDescent="0.25">
      <c r="F49" t="str">
        <f ca="1"/>
        <v>Yagna Sujeev</v>
      </c>
      <c r="G49">
        <f ca="1"/>
        <v>43840</v>
      </c>
      <c r="H49" t="str">
        <f ca="1"/>
        <v>Above average</v>
      </c>
    </row>
    <row r="50" spans="6:8" x14ac:dyDescent="0.25">
      <c r="F50" t="str">
        <f ca="1"/>
        <v>Kassi Jonson</v>
      </c>
      <c r="G50">
        <f ca="1"/>
        <v>43840</v>
      </c>
      <c r="H50" t="str">
        <f ca="1"/>
        <v>Above average</v>
      </c>
    </row>
    <row r="51" spans="6:8" x14ac:dyDescent="0.25">
      <c r="F51" t="str">
        <f ca="1"/>
        <v>Jagajeet Viraj</v>
      </c>
      <c r="G51">
        <f ca="1"/>
        <v>41980</v>
      </c>
      <c r="H51" t="str">
        <f ca="1"/>
        <v>Average</v>
      </c>
    </row>
    <row r="52" spans="6:8" x14ac:dyDescent="0.25">
      <c r="F52" t="str">
        <f ca="1"/>
        <v>Dotty Strutley</v>
      </c>
      <c r="G52">
        <f ca="1"/>
        <v>41980</v>
      </c>
      <c r="H52" t="str">
        <f ca="1"/>
        <v>Average</v>
      </c>
    </row>
    <row r="53" spans="6:8" x14ac:dyDescent="0.25">
      <c r="F53" t="str">
        <f ca="1"/>
        <v>Suchira Bhanupriya Tapti</v>
      </c>
      <c r="G53">
        <f ca="1"/>
        <v>34980</v>
      </c>
      <c r="H53" t="str">
        <f ca="1"/>
        <v>Average</v>
      </c>
    </row>
    <row r="54" spans="6:8" x14ac:dyDescent="0.25">
      <c r="F54" t="str">
        <f ca="1"/>
        <v>Niall Selesnick</v>
      </c>
      <c r="G54">
        <f ca="1"/>
        <v>34980</v>
      </c>
      <c r="H54" t="str">
        <f ca="1"/>
        <v>Average</v>
      </c>
    </row>
    <row r="55" spans="6:8" x14ac:dyDescent="0.25">
      <c r="F55" t="str">
        <f ca="1"/>
        <v>Shubhra Potla</v>
      </c>
      <c r="G55">
        <f ca="1"/>
        <v>33920</v>
      </c>
      <c r="H55" t="str">
        <f ca="1"/>
        <v>Average</v>
      </c>
    </row>
    <row r="56" spans="6:8" x14ac:dyDescent="0.25">
      <c r="F56" t="str">
        <f ca="1"/>
        <v>Gretchen Callow</v>
      </c>
      <c r="G56">
        <f ca="1"/>
        <v>33920</v>
      </c>
      <c r="H56" t="str">
        <f ca="1"/>
        <v>Average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7054C-5A1F-46E8-8237-9AF022D8F86C}">
  <dimension ref="B2:H22"/>
  <sheetViews>
    <sheetView tabSelected="1" topLeftCell="A7" workbookViewId="0">
      <selection activeCell="E23" sqref="E23"/>
    </sheetView>
  </sheetViews>
  <sheetFormatPr defaultRowHeight="15" x14ac:dyDescent="0.25"/>
  <cols>
    <col min="3" max="3" width="17.5703125" bestFit="1" customWidth="1"/>
    <col min="4" max="4" width="16.28515625" bestFit="1" customWidth="1"/>
    <col min="5" max="5" width="11.28515625" bestFit="1" customWidth="1"/>
    <col min="6" max="6" width="17.5703125" bestFit="1" customWidth="1"/>
    <col min="7" max="8" width="11.28515625" bestFit="1" customWidth="1"/>
    <col min="9" max="9" width="19.42578125" bestFit="1" customWidth="1"/>
    <col min="10" max="10" width="19.5703125" bestFit="1" customWidth="1"/>
  </cols>
  <sheetData>
    <row r="2" spans="2:3" x14ac:dyDescent="0.25">
      <c r="B2" s="22">
        <v>3</v>
      </c>
      <c r="C2" t="s">
        <v>219</v>
      </c>
    </row>
    <row r="17" spans="6:8" x14ac:dyDescent="0.25">
      <c r="G17" s="25" t="s">
        <v>225</v>
      </c>
    </row>
    <row r="18" spans="6:8" x14ac:dyDescent="0.25">
      <c r="F18" s="25" t="s">
        <v>222</v>
      </c>
      <c r="G18" s="35" t="s">
        <v>8</v>
      </c>
      <c r="H18" s="35" t="s">
        <v>15</v>
      </c>
    </row>
    <row r="19" spans="6:8" x14ac:dyDescent="0.25">
      <c r="F19" s="18" t="s">
        <v>220</v>
      </c>
      <c r="G19" s="26">
        <v>43</v>
      </c>
      <c r="H19" s="26">
        <v>45</v>
      </c>
    </row>
    <row r="20" spans="6:8" x14ac:dyDescent="0.25">
      <c r="F20" s="18" t="s">
        <v>221</v>
      </c>
      <c r="G20" s="27">
        <v>31.418604651162791</v>
      </c>
      <c r="H20" s="27">
        <v>29.444444444444443</v>
      </c>
    </row>
    <row r="21" spans="6:8" x14ac:dyDescent="0.25">
      <c r="F21" s="18" t="s">
        <v>223</v>
      </c>
      <c r="G21" s="24">
        <v>78284.186046511633</v>
      </c>
      <c r="H21" s="24">
        <v>75334.444444444438</v>
      </c>
    </row>
    <row r="22" spans="6:8" x14ac:dyDescent="0.25">
      <c r="F22" s="18" t="s">
        <v>224</v>
      </c>
      <c r="G22" s="28">
        <v>4.2530105129021969</v>
      </c>
      <c r="H22" s="28">
        <v>4.2360426179604271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85494-0EE1-4C3E-A726-4CCD833FD240}">
  <dimension ref="B2:N50"/>
  <sheetViews>
    <sheetView topLeftCell="A7" zoomScale="82" zoomScaleNormal="82" workbookViewId="0">
      <selection activeCell="B18" sqref="B18"/>
    </sheetView>
  </sheetViews>
  <sheetFormatPr defaultRowHeight="15" x14ac:dyDescent="0.25"/>
  <cols>
    <col min="2" max="2" width="13.7109375" bestFit="1" customWidth="1"/>
    <col min="3" max="3" width="14.42578125" bestFit="1" customWidth="1"/>
    <col min="4" max="4" width="16.42578125" bestFit="1" customWidth="1"/>
    <col min="5" max="5" width="11.28515625" bestFit="1" customWidth="1"/>
    <col min="6" max="6" width="5.140625" bestFit="1" customWidth="1"/>
    <col min="7" max="7" width="14.140625" customWidth="1"/>
    <col min="8" max="8" width="11.28515625" bestFit="1" customWidth="1"/>
    <col min="9" max="9" width="30" bestFit="1" customWidth="1"/>
    <col min="10" max="10" width="17.7109375" customWidth="1"/>
    <col min="11" max="11" width="6.7109375" customWidth="1"/>
    <col min="12" max="12" width="11.42578125" style="36" customWidth="1"/>
    <col min="13" max="13" width="15" customWidth="1"/>
    <col min="14" max="14" width="14" customWidth="1"/>
    <col min="15" max="184" width="30" bestFit="1" customWidth="1"/>
    <col min="185" max="185" width="11.28515625" bestFit="1" customWidth="1"/>
  </cols>
  <sheetData>
    <row r="2" spans="2:14" x14ac:dyDescent="0.25">
      <c r="B2" s="25" t="s">
        <v>230</v>
      </c>
      <c r="C2" t="s">
        <v>220</v>
      </c>
      <c r="D2" t="s">
        <v>223</v>
      </c>
      <c r="K2" s="55"/>
      <c r="L2" s="56" t="s">
        <v>237</v>
      </c>
      <c r="M2" s="55" t="s">
        <v>238</v>
      </c>
      <c r="N2" s="55" t="s">
        <v>239</v>
      </c>
    </row>
    <row r="3" spans="2:14" x14ac:dyDescent="0.25">
      <c r="B3" s="17" t="s">
        <v>10</v>
      </c>
      <c r="C3" s="10">
        <v>4</v>
      </c>
      <c r="D3" s="32">
        <v>92080</v>
      </c>
      <c r="G3" s="17"/>
      <c r="K3" s="33" cm="1">
        <f t="array" ref="K3:K38">_xlfn.SEQUENCE(36)</f>
        <v>1</v>
      </c>
      <c r="L3" s="54" cm="1">
        <f t="array" ref="L3:L38">EDATE(DATE(2020,4,1),_xlfn.ANCHORARRAY(K3)+0)</f>
        <v>43952</v>
      </c>
      <c r="M3" s="33">
        <f>COUNTIFS(staff[Date Joined],"&gt;="&amp;L3,staff[Date Joined],"&lt;="&amp;EOMONTH(L3,0))</f>
        <v>3</v>
      </c>
      <c r="N3" s="33">
        <f>SUM($M$3:M3)</f>
        <v>3</v>
      </c>
    </row>
    <row r="4" spans="2:14" x14ac:dyDescent="0.25">
      <c r="B4" s="17" t="s">
        <v>13</v>
      </c>
      <c r="C4" s="10">
        <v>20</v>
      </c>
      <c r="D4" s="32">
        <v>75933</v>
      </c>
      <c r="G4" s="17"/>
      <c r="K4" s="33">
        <v>2</v>
      </c>
      <c r="L4" s="54">
        <v>43983</v>
      </c>
      <c r="M4" s="33">
        <f>COUNTIFS(staff[Date Joined],"&gt;="&amp;L4,staff[Date Joined],"&lt;="&amp;EOMONTH(L4,0))</f>
        <v>1</v>
      </c>
      <c r="N4" s="33">
        <f>SUM($M$3:M4)</f>
        <v>4</v>
      </c>
    </row>
    <row r="5" spans="2:14" x14ac:dyDescent="0.25">
      <c r="B5" s="17" t="s">
        <v>16</v>
      </c>
      <c r="C5" s="10">
        <v>137</v>
      </c>
      <c r="D5" s="32">
        <v>76798.759124087592</v>
      </c>
      <c r="G5" s="17"/>
      <c r="K5" s="33">
        <v>3</v>
      </c>
      <c r="L5" s="54">
        <v>44013</v>
      </c>
      <c r="M5" s="33">
        <f>COUNTIFS(staff[Date Joined],"&gt;="&amp;L5,staff[Date Joined],"&lt;="&amp;EOMONTH(L5,0))</f>
        <v>5</v>
      </c>
      <c r="N5" s="33">
        <f>SUM($M$3:M5)</f>
        <v>9</v>
      </c>
    </row>
    <row r="6" spans="2:14" x14ac:dyDescent="0.25">
      <c r="B6" s="17" t="s">
        <v>24</v>
      </c>
      <c r="C6" s="10">
        <v>16</v>
      </c>
      <c r="D6" s="32">
        <v>78115</v>
      </c>
      <c r="G6" s="17"/>
      <c r="K6" s="33">
        <v>4</v>
      </c>
      <c r="L6" s="54">
        <v>44044</v>
      </c>
      <c r="M6" s="33">
        <f>COUNTIFS(staff[Date Joined],"&gt;="&amp;L6,staff[Date Joined],"&lt;="&amp;EOMONTH(L6,0))</f>
        <v>3</v>
      </c>
      <c r="N6" s="33">
        <f>SUM($M$3:M6)</f>
        <v>12</v>
      </c>
    </row>
    <row r="7" spans="2:14" x14ac:dyDescent="0.25">
      <c r="B7" s="17" t="s">
        <v>42</v>
      </c>
      <c r="C7" s="10">
        <v>6</v>
      </c>
      <c r="D7" s="32">
        <v>77423.333333333328</v>
      </c>
      <c r="G7" s="17"/>
      <c r="K7" s="33">
        <v>5</v>
      </c>
      <c r="L7" s="54">
        <v>44075</v>
      </c>
      <c r="M7" s="33">
        <f>COUNTIFS(staff[Date Joined],"&gt;="&amp;L7,staff[Date Joined],"&lt;="&amp;EOMONTH(L7,0))</f>
        <v>6</v>
      </c>
      <c r="N7" s="33">
        <f>SUM($M$3:M7)</f>
        <v>18</v>
      </c>
    </row>
    <row r="8" spans="2:14" x14ac:dyDescent="0.25">
      <c r="B8" s="17" t="s">
        <v>231</v>
      </c>
      <c r="C8" s="10">
        <v>183</v>
      </c>
      <c r="D8" s="32">
        <v>77173.715846994543</v>
      </c>
      <c r="K8" s="33">
        <v>6</v>
      </c>
      <c r="L8" s="54">
        <v>44105</v>
      </c>
      <c r="M8" s="33">
        <f>COUNTIFS(staff[Date Joined],"&gt;="&amp;L8,staff[Date Joined],"&lt;="&amp;EOMONTH(L8,0))</f>
        <v>6</v>
      </c>
      <c r="N8" s="33">
        <f>SUM($M$3:M8)</f>
        <v>24</v>
      </c>
    </row>
    <row r="9" spans="2:14" x14ac:dyDescent="0.25">
      <c r="K9" s="33">
        <v>7</v>
      </c>
      <c r="L9" s="54">
        <v>44136</v>
      </c>
      <c r="M9" s="33">
        <f>COUNTIFS(staff[Date Joined],"&gt;="&amp;L9,staff[Date Joined],"&lt;="&amp;EOMONTH(L9,0))</f>
        <v>6</v>
      </c>
      <c r="N9" s="33">
        <f>SUM($M$3:M9)</f>
        <v>30</v>
      </c>
    </row>
    <row r="10" spans="2:14" x14ac:dyDescent="0.25">
      <c r="K10" s="33">
        <v>8</v>
      </c>
      <c r="L10" s="54">
        <v>44166</v>
      </c>
      <c r="M10" s="33">
        <f>COUNTIFS(staff[Date Joined],"&gt;="&amp;L10,staff[Date Joined],"&lt;="&amp;EOMONTH(L10,0))</f>
        <v>7</v>
      </c>
      <c r="N10" s="33">
        <f>SUM($M$3:M10)</f>
        <v>37</v>
      </c>
    </row>
    <row r="11" spans="2:14" x14ac:dyDescent="0.25">
      <c r="K11" s="33">
        <v>9</v>
      </c>
      <c r="L11" s="54">
        <v>44197</v>
      </c>
      <c r="M11" s="33">
        <f>COUNTIFS(staff[Date Joined],"&gt;="&amp;L11,staff[Date Joined],"&lt;="&amp;EOMONTH(L11,0))</f>
        <v>6</v>
      </c>
      <c r="N11" s="33">
        <f>SUM($M$3:M11)</f>
        <v>43</v>
      </c>
    </row>
    <row r="12" spans="2:14" x14ac:dyDescent="0.25">
      <c r="K12" s="33">
        <v>10</v>
      </c>
      <c r="L12" s="54">
        <v>44228</v>
      </c>
      <c r="M12" s="33">
        <f>COUNTIFS(staff[Date Joined],"&gt;="&amp;L12,staff[Date Joined],"&lt;="&amp;EOMONTH(L12,0))</f>
        <v>4</v>
      </c>
      <c r="N12" s="33">
        <f>SUM($M$3:M12)</f>
        <v>47</v>
      </c>
    </row>
    <row r="13" spans="2:14" x14ac:dyDescent="0.25">
      <c r="K13" s="33">
        <v>11</v>
      </c>
      <c r="L13" s="54">
        <v>44256</v>
      </c>
      <c r="M13" s="33">
        <f>COUNTIFS(staff[Date Joined],"&gt;="&amp;L13,staff[Date Joined],"&lt;="&amp;EOMONTH(L13,0))</f>
        <v>9</v>
      </c>
      <c r="N13" s="33">
        <f>SUM($M$3:M13)</f>
        <v>56</v>
      </c>
    </row>
    <row r="14" spans="2:14" x14ac:dyDescent="0.25">
      <c r="K14" s="33">
        <v>12</v>
      </c>
      <c r="L14" s="54">
        <v>44287</v>
      </c>
      <c r="M14" s="33">
        <f>COUNTIFS(staff[Date Joined],"&gt;="&amp;L14,staff[Date Joined],"&lt;="&amp;EOMONTH(L14,0))</f>
        <v>5</v>
      </c>
      <c r="N14" s="33">
        <f>SUM($M$3:M14)</f>
        <v>61</v>
      </c>
    </row>
    <row r="15" spans="2:14" x14ac:dyDescent="0.25">
      <c r="K15" s="33">
        <v>13</v>
      </c>
      <c r="L15" s="54">
        <v>44317</v>
      </c>
      <c r="M15" s="33">
        <f>COUNTIFS(staff[Date Joined],"&gt;="&amp;L15,staff[Date Joined],"&lt;="&amp;EOMONTH(L15,0))</f>
        <v>10</v>
      </c>
      <c r="N15" s="33">
        <f>SUM($M$3:M15)</f>
        <v>71</v>
      </c>
    </row>
    <row r="16" spans="2:14" ht="42.75" customHeight="1" x14ac:dyDescent="0.25">
      <c r="K16" s="33">
        <v>14</v>
      </c>
      <c r="L16" s="54">
        <v>44348</v>
      </c>
      <c r="M16" s="33">
        <f>COUNTIFS(staff[Date Joined],"&gt;="&amp;L16,staff[Date Joined],"&lt;="&amp;EOMONTH(L16,0))</f>
        <v>6</v>
      </c>
      <c r="N16" s="33">
        <f>SUM($M$3:M16)</f>
        <v>77</v>
      </c>
    </row>
    <row r="17" spans="2:14" x14ac:dyDescent="0.25">
      <c r="B17" s="25" t="s">
        <v>230</v>
      </c>
      <c r="C17" t="s">
        <v>220</v>
      </c>
      <c r="K17" s="33">
        <v>15</v>
      </c>
      <c r="L17" s="54">
        <v>44378</v>
      </c>
      <c r="M17" s="33">
        <f>COUNTIFS(staff[Date Joined],"&gt;="&amp;L17,staff[Date Joined],"&lt;="&amp;EOMONTH(L17,0))</f>
        <v>13</v>
      </c>
      <c r="N17" s="33">
        <f>SUM($M$3:M17)</f>
        <v>90</v>
      </c>
    </row>
    <row r="18" spans="2:14" x14ac:dyDescent="0.25">
      <c r="B18" s="17" t="s">
        <v>233</v>
      </c>
      <c r="C18" s="10" t="e">
        <v>#N/A</v>
      </c>
      <c r="K18" s="33">
        <v>16</v>
      </c>
      <c r="L18" s="54">
        <v>44409</v>
      </c>
      <c r="M18" s="33">
        <f>COUNTIFS(staff[Date Joined],"&gt;="&amp;L18,staff[Date Joined],"&lt;="&amp;EOMONTH(L18,0))</f>
        <v>4</v>
      </c>
      <c r="N18" s="33">
        <f>SUM($M$3:M18)</f>
        <v>94</v>
      </c>
    </row>
    <row r="19" spans="2:14" x14ac:dyDescent="0.25">
      <c r="B19" s="17" t="s">
        <v>234</v>
      </c>
      <c r="C19" s="10" t="e">
        <v>#N/A</v>
      </c>
      <c r="K19" s="33">
        <v>17</v>
      </c>
      <c r="L19" s="54">
        <v>44440</v>
      </c>
      <c r="M19" s="33">
        <f>COUNTIFS(staff[Date Joined],"&gt;="&amp;L19,staff[Date Joined],"&lt;="&amp;EOMONTH(L19,0))</f>
        <v>11</v>
      </c>
      <c r="N19" s="33">
        <f>SUM($M$3:M19)</f>
        <v>105</v>
      </c>
    </row>
    <row r="20" spans="2:14" x14ac:dyDescent="0.25">
      <c r="B20" s="17" t="s">
        <v>235</v>
      </c>
      <c r="C20" s="10" t="e">
        <v>#N/A</v>
      </c>
      <c r="K20" s="33">
        <v>18</v>
      </c>
      <c r="L20" s="54">
        <v>44470</v>
      </c>
      <c r="M20" s="33">
        <f>COUNTIFS(staff[Date Joined],"&gt;="&amp;L20,staff[Date Joined],"&lt;="&amp;EOMONTH(L20,0))</f>
        <v>3</v>
      </c>
      <c r="N20" s="33">
        <f>SUM($M$3:M20)</f>
        <v>108</v>
      </c>
    </row>
    <row r="21" spans="2:14" x14ac:dyDescent="0.25">
      <c r="B21" s="17" t="s">
        <v>236</v>
      </c>
      <c r="C21" s="10" t="e">
        <v>#N/A</v>
      </c>
      <c r="K21" s="33">
        <v>19</v>
      </c>
      <c r="L21" s="54">
        <v>44501</v>
      </c>
      <c r="M21" s="33">
        <f>COUNTIFS(staff[Date Joined],"&gt;="&amp;L21,staff[Date Joined],"&lt;="&amp;EOMONTH(L21,0))</f>
        <v>4</v>
      </c>
      <c r="N21" s="33">
        <f>SUM($M$3:M21)</f>
        <v>112</v>
      </c>
    </row>
    <row r="22" spans="2:14" x14ac:dyDescent="0.25">
      <c r="B22" s="17" t="s">
        <v>231</v>
      </c>
      <c r="C22" s="10"/>
      <c r="K22" s="33">
        <v>20</v>
      </c>
      <c r="L22" s="54">
        <v>44531</v>
      </c>
      <c r="M22" s="33">
        <f>COUNTIFS(staff[Date Joined],"&gt;="&amp;L22,staff[Date Joined],"&lt;="&amp;EOMONTH(L22,0))</f>
        <v>7</v>
      </c>
      <c r="N22" s="33">
        <f>SUM($M$3:M22)</f>
        <v>119</v>
      </c>
    </row>
    <row r="23" spans="2:14" x14ac:dyDescent="0.25">
      <c r="K23" s="33">
        <v>21</v>
      </c>
      <c r="L23" s="54">
        <v>44562</v>
      </c>
      <c r="M23" s="33">
        <f>COUNTIFS(staff[Date Joined],"&gt;="&amp;L23,staff[Date Joined],"&lt;="&amp;EOMONTH(L23,0))</f>
        <v>3</v>
      </c>
      <c r="N23" s="33">
        <f>SUM($M$3:M23)</f>
        <v>122</v>
      </c>
    </row>
    <row r="24" spans="2:14" x14ac:dyDescent="0.25">
      <c r="K24" s="33">
        <v>22</v>
      </c>
      <c r="L24" s="54">
        <v>44593</v>
      </c>
      <c r="M24" s="33">
        <f>COUNTIFS(staff[Date Joined],"&gt;="&amp;L24,staff[Date Joined],"&lt;="&amp;EOMONTH(L24,0))</f>
        <v>10</v>
      </c>
      <c r="N24" s="33">
        <f>SUM($M$3:M24)</f>
        <v>132</v>
      </c>
    </row>
    <row r="25" spans="2:14" x14ac:dyDescent="0.25">
      <c r="K25" s="33">
        <v>23</v>
      </c>
      <c r="L25" s="54">
        <v>44621</v>
      </c>
      <c r="M25" s="33">
        <f>COUNTIFS(staff[Date Joined],"&gt;="&amp;L25,staff[Date Joined],"&lt;="&amp;EOMONTH(L25,0))</f>
        <v>9</v>
      </c>
      <c r="N25" s="33">
        <f>SUM($M$3:M25)</f>
        <v>141</v>
      </c>
    </row>
    <row r="26" spans="2:14" x14ac:dyDescent="0.25">
      <c r="K26" s="33">
        <v>24</v>
      </c>
      <c r="L26" s="54">
        <v>44652</v>
      </c>
      <c r="M26" s="33">
        <f>COUNTIFS(staff[Date Joined],"&gt;="&amp;L26,staff[Date Joined],"&lt;="&amp;EOMONTH(L26,0))</f>
        <v>9</v>
      </c>
      <c r="N26" s="33">
        <f>SUM($M$3:M26)</f>
        <v>150</v>
      </c>
    </row>
    <row r="27" spans="2:14" x14ac:dyDescent="0.25">
      <c r="K27" s="33">
        <v>25</v>
      </c>
      <c r="L27" s="54">
        <v>44682</v>
      </c>
      <c r="M27" s="33">
        <f>COUNTIFS(staff[Date Joined],"&gt;="&amp;L27,staff[Date Joined],"&lt;="&amp;EOMONTH(L27,0))</f>
        <v>9</v>
      </c>
      <c r="N27" s="33">
        <f>SUM($M$3:M27)</f>
        <v>159</v>
      </c>
    </row>
    <row r="28" spans="2:14" x14ac:dyDescent="0.25">
      <c r="K28" s="33">
        <v>26</v>
      </c>
      <c r="L28" s="54">
        <v>44713</v>
      </c>
      <c r="M28" s="33">
        <f>COUNTIFS(staff[Date Joined],"&gt;="&amp;L28,staff[Date Joined],"&lt;="&amp;EOMONTH(L28,0))</f>
        <v>7</v>
      </c>
      <c r="N28" s="33">
        <f>SUM($M$3:M28)</f>
        <v>166</v>
      </c>
    </row>
    <row r="29" spans="2:14" x14ac:dyDescent="0.25">
      <c r="K29" s="33">
        <v>27</v>
      </c>
      <c r="L29" s="54">
        <v>44743</v>
      </c>
      <c r="M29" s="33">
        <f>COUNTIFS(staff[Date Joined],"&gt;="&amp;L29,staff[Date Joined],"&lt;="&amp;EOMONTH(L29,0))</f>
        <v>5</v>
      </c>
      <c r="N29" s="33">
        <f>SUM($M$3:M29)</f>
        <v>171</v>
      </c>
    </row>
    <row r="30" spans="2:14" x14ac:dyDescent="0.25">
      <c r="K30" s="33">
        <v>28</v>
      </c>
      <c r="L30" s="54">
        <v>44774</v>
      </c>
      <c r="M30" s="33">
        <f>COUNTIFS(staff[Date Joined],"&gt;="&amp;L30,staff[Date Joined],"&lt;="&amp;EOMONTH(L30,0))</f>
        <v>5</v>
      </c>
      <c r="N30" s="33">
        <f>SUM($M$3:M30)</f>
        <v>176</v>
      </c>
    </row>
    <row r="31" spans="2:14" x14ac:dyDescent="0.25">
      <c r="K31" s="33">
        <v>29</v>
      </c>
      <c r="L31" s="54">
        <v>44805</v>
      </c>
      <c r="M31" s="33">
        <f>COUNTIFS(staff[Date Joined],"&gt;="&amp;L31,staff[Date Joined],"&lt;="&amp;EOMONTH(L31,0))</f>
        <v>2</v>
      </c>
      <c r="N31" s="33">
        <f>SUM($M$3:M31)</f>
        <v>178</v>
      </c>
    </row>
    <row r="32" spans="2:14" x14ac:dyDescent="0.25">
      <c r="K32" s="33">
        <v>30</v>
      </c>
      <c r="L32" s="54">
        <v>44835</v>
      </c>
      <c r="M32" s="33">
        <f>COUNTIFS(staff[Date Joined],"&gt;="&amp;L32,staff[Date Joined],"&lt;="&amp;EOMONTH(L32,0))</f>
        <v>3</v>
      </c>
      <c r="N32" s="33">
        <f>SUM($M$3:M32)</f>
        <v>181</v>
      </c>
    </row>
    <row r="33" spans="11:14" x14ac:dyDescent="0.25">
      <c r="K33" s="33">
        <v>31</v>
      </c>
      <c r="L33" s="54">
        <v>44866</v>
      </c>
      <c r="M33" s="33">
        <f>COUNTIFS(staff[Date Joined],"&gt;="&amp;L33,staff[Date Joined],"&lt;="&amp;EOMONTH(L33,0))</f>
        <v>0</v>
      </c>
      <c r="N33" s="33">
        <f>SUM($M$3:M33)</f>
        <v>181</v>
      </c>
    </row>
    <row r="34" spans="11:14" x14ac:dyDescent="0.25">
      <c r="K34" s="33">
        <v>32</v>
      </c>
      <c r="L34" s="54">
        <v>44896</v>
      </c>
      <c r="M34" s="33">
        <f>COUNTIFS(staff[Date Joined],"&gt;="&amp;L34,staff[Date Joined],"&lt;="&amp;EOMONTH(L34,0))</f>
        <v>0</v>
      </c>
      <c r="N34" s="33">
        <f>SUM($M$3:M34)</f>
        <v>181</v>
      </c>
    </row>
    <row r="35" spans="11:14" x14ac:dyDescent="0.25">
      <c r="K35" s="33">
        <v>33</v>
      </c>
      <c r="L35" s="54">
        <v>44927</v>
      </c>
      <c r="M35" s="33">
        <f>COUNTIFS(staff[Date Joined],"&gt;="&amp;L35,staff[Date Joined],"&lt;="&amp;EOMONTH(L35,0))</f>
        <v>0</v>
      </c>
      <c r="N35" s="33">
        <f>SUM($M$3:M35)</f>
        <v>181</v>
      </c>
    </row>
    <row r="36" spans="11:14" x14ac:dyDescent="0.25">
      <c r="K36" s="33">
        <v>34</v>
      </c>
      <c r="L36" s="54">
        <v>44958</v>
      </c>
      <c r="M36" s="33">
        <f>COUNTIFS(staff[Date Joined],"&gt;="&amp;L36,staff[Date Joined],"&lt;="&amp;EOMONTH(L36,0))</f>
        <v>1</v>
      </c>
      <c r="N36" s="33">
        <f>SUM($M$3:M36)</f>
        <v>182</v>
      </c>
    </row>
    <row r="37" spans="11:14" x14ac:dyDescent="0.25">
      <c r="K37" s="33">
        <v>35</v>
      </c>
      <c r="L37" s="54">
        <v>44986</v>
      </c>
      <c r="M37" s="33">
        <f>COUNTIFS(staff[Date Joined],"&gt;="&amp;L37,staff[Date Joined],"&lt;="&amp;EOMONTH(L37,0))</f>
        <v>0</v>
      </c>
      <c r="N37" s="33">
        <f>SUM($M$3:M37)</f>
        <v>182</v>
      </c>
    </row>
    <row r="38" spans="11:14" x14ac:dyDescent="0.25">
      <c r="K38" s="33">
        <v>36</v>
      </c>
      <c r="L38" s="54">
        <v>45017</v>
      </c>
      <c r="M38" s="33">
        <f>COUNTIFS(staff[Date Joined],"&gt;="&amp;L38,staff[Date Joined],"&lt;="&amp;EOMONTH(L38,0))</f>
        <v>1</v>
      </c>
      <c r="N38" s="33">
        <f>SUM($M$3:M38)</f>
        <v>183</v>
      </c>
    </row>
    <row r="39" spans="11:14" x14ac:dyDescent="0.25">
      <c r="M39" s="35"/>
    </row>
    <row r="40" spans="11:14" x14ac:dyDescent="0.25">
      <c r="M40" s="35"/>
    </row>
    <row r="41" spans="11:14" x14ac:dyDescent="0.25">
      <c r="M41" s="35"/>
    </row>
    <row r="42" spans="11:14" x14ac:dyDescent="0.25">
      <c r="M42" s="35"/>
    </row>
    <row r="43" spans="11:14" x14ac:dyDescent="0.25">
      <c r="M43" s="35"/>
    </row>
    <row r="44" spans="11:14" x14ac:dyDescent="0.25">
      <c r="M44" s="35"/>
    </row>
    <row r="45" spans="11:14" x14ac:dyDescent="0.25">
      <c r="M45" s="35"/>
    </row>
    <row r="46" spans="11:14" x14ac:dyDescent="0.25">
      <c r="M46" s="35"/>
    </row>
    <row r="47" spans="11:14" x14ac:dyDescent="0.25">
      <c r="M47" s="35"/>
    </row>
    <row r="48" spans="11:14" x14ac:dyDescent="0.25">
      <c r="M48" s="35"/>
    </row>
    <row r="49" spans="13:13" x14ac:dyDescent="0.25">
      <c r="M49" s="35"/>
    </row>
    <row r="50" spans="13:13" x14ac:dyDescent="0.25">
      <c r="M50" s="35"/>
    </row>
  </sheetData>
  <conditionalFormatting pivot="1" sqref="D3:D7">
    <cfRule type="dataBar" priority="1">
      <dataBar>
        <cfvo type="min"/>
        <cfvo type="max"/>
        <color rgb="FF638EC6"/>
      </dataBar>
      <extLst>
        <ext xmlns:x14="http://schemas.microsoft.com/office/spreadsheetml/2009/9/main" uri="{B025F937-C7B1-47D3-B67F-A62EFF666E3E}">
          <x14:id>{9962E4F8-D896-4160-86C2-8598B180AF59}</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9962E4F8-D896-4160-86C2-8598B180AF59}">
            <x14:dataBar minLength="0" maxLength="100" border="1" negativeBarBorderColorSameAsPositive="0">
              <x14:cfvo type="autoMin"/>
              <x14:cfvo type="autoMax"/>
              <x14:borderColor rgb="FF638EC6"/>
              <x14:negativeFillColor rgb="FFFF0000"/>
              <x14:negativeBorderColor rgb="FFFF0000"/>
              <x14:axisColor rgb="FF000000"/>
            </x14:dataBar>
          </x14:cfRule>
          <xm:sqref>D3:D7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ECF02-818E-4F7D-B710-FD7E479E9D1B}">
  <dimension ref="B1:T18"/>
  <sheetViews>
    <sheetView showGridLines="0" workbookViewId="0">
      <selection activeCell="P14" sqref="P14"/>
    </sheetView>
  </sheetViews>
  <sheetFormatPr defaultRowHeight="15" x14ac:dyDescent="0.25"/>
  <cols>
    <col min="2" max="2" width="14" customWidth="1"/>
    <col min="3" max="3" width="2.5703125" customWidth="1"/>
    <col min="4" max="4" width="14" customWidth="1"/>
    <col min="5" max="5" width="2.7109375" customWidth="1"/>
    <col min="6" max="6" width="14" customWidth="1"/>
    <col min="9" max="9" width="14" customWidth="1"/>
    <col min="10" max="10" width="2.5703125" customWidth="1"/>
    <col min="11" max="11" width="14" customWidth="1"/>
    <col min="12" max="12" width="2.7109375" customWidth="1"/>
    <col min="13" max="13" width="14" customWidth="1"/>
    <col min="16" max="16" width="13.140625" bestFit="1" customWidth="1"/>
    <col min="17" max="17" width="14.42578125" bestFit="1" customWidth="1"/>
    <col min="19" max="19" width="13.140625" bestFit="1" customWidth="1"/>
    <col min="20" max="20" width="14.42578125" bestFit="1" customWidth="1"/>
  </cols>
  <sheetData>
    <row r="1" spans="2:20" ht="52.5" customHeight="1" x14ac:dyDescent="0.25">
      <c r="B1" s="53" t="s">
        <v>241</v>
      </c>
      <c r="C1" s="53"/>
      <c r="D1" s="53"/>
      <c r="E1" s="53"/>
      <c r="F1" s="53"/>
      <c r="I1" s="53" t="s">
        <v>242</v>
      </c>
      <c r="J1" s="53"/>
      <c r="K1" s="53"/>
      <c r="L1" s="53"/>
      <c r="M1" s="53"/>
    </row>
    <row r="2" spans="2:20" ht="68.25" customHeight="1" x14ac:dyDescent="0.25">
      <c r="B2" s="48">
        <f>COUNTIFS(staff[Country],"NZ")</f>
        <v>91</v>
      </c>
      <c r="D2" s="47">
        <v>0.47252747252747251</v>
      </c>
      <c r="F2" s="46">
        <f>AVERAGEIFS(staff[Salary], staff[Country], "NZ")</f>
        <v>76978.791208791212</v>
      </c>
      <c r="I2" s="49">
        <f>COUNTIFS(staff[Country],"IND")</f>
        <v>92</v>
      </c>
      <c r="J2" s="35"/>
      <c r="K2" s="50">
        <f>COUNTIFS(staff[Country],"IND",staff[Gender],"Female")/I2</f>
        <v>0.46739130434782611</v>
      </c>
      <c r="L2" s="35"/>
      <c r="M2" s="51">
        <f>AVERAGEIFS(staff[Salary], staff[Country], "IND")</f>
        <v>77366.521739130432</v>
      </c>
    </row>
    <row r="3" spans="2:20" ht="24" customHeight="1" x14ac:dyDescent="0.25">
      <c r="B3" s="52" t="s">
        <v>240</v>
      </c>
      <c r="C3" s="52"/>
      <c r="D3" s="52"/>
      <c r="E3" s="52"/>
      <c r="F3" s="52"/>
      <c r="G3" s="52"/>
      <c r="H3" s="52"/>
      <c r="I3" s="52"/>
      <c r="J3" s="52"/>
      <c r="K3" s="52"/>
      <c r="L3" s="52"/>
      <c r="M3" s="52"/>
      <c r="P3" s="57" t="s">
        <v>205</v>
      </c>
      <c r="Q3" s="33" t="s">
        <v>207</v>
      </c>
      <c r="S3" s="57" t="s">
        <v>205</v>
      </c>
      <c r="T3" s="33" t="s">
        <v>206</v>
      </c>
    </row>
    <row r="4" spans="2:20" x14ac:dyDescent="0.25">
      <c r="B4" s="37"/>
      <c r="C4" s="38"/>
      <c r="D4" s="38"/>
      <c r="E4" s="38"/>
      <c r="F4" s="39"/>
      <c r="I4" s="37"/>
      <c r="J4" s="38"/>
      <c r="K4" s="38"/>
      <c r="L4" s="38"/>
      <c r="M4" s="39"/>
      <c r="P4" s="33"/>
      <c r="Q4" s="33"/>
      <c r="S4" s="33"/>
      <c r="T4" s="33"/>
    </row>
    <row r="5" spans="2:20" x14ac:dyDescent="0.25">
      <c r="B5" s="40"/>
      <c r="C5" s="41"/>
      <c r="D5" s="41"/>
      <c r="E5" s="41"/>
      <c r="F5" s="42"/>
      <c r="I5" s="40"/>
      <c r="J5" s="41"/>
      <c r="K5" s="41"/>
      <c r="L5" s="41"/>
      <c r="M5" s="42"/>
      <c r="P5" s="57" t="s">
        <v>230</v>
      </c>
      <c r="Q5" s="33" t="s">
        <v>220</v>
      </c>
      <c r="S5" s="57" t="s">
        <v>230</v>
      </c>
      <c r="T5" s="33" t="s">
        <v>220</v>
      </c>
    </row>
    <row r="6" spans="2:20" x14ac:dyDescent="0.25">
      <c r="B6" s="40"/>
      <c r="C6" s="41"/>
      <c r="D6" s="41"/>
      <c r="E6" s="41"/>
      <c r="F6" s="42"/>
      <c r="I6" s="40"/>
      <c r="J6" s="41"/>
      <c r="K6" s="41"/>
      <c r="L6" s="41"/>
      <c r="M6" s="42"/>
      <c r="P6" s="18" t="s">
        <v>9</v>
      </c>
      <c r="Q6" s="26">
        <v>28</v>
      </c>
      <c r="S6" s="18" t="s">
        <v>12</v>
      </c>
      <c r="T6" s="26">
        <v>27</v>
      </c>
    </row>
    <row r="7" spans="2:20" x14ac:dyDescent="0.25">
      <c r="B7" s="40"/>
      <c r="C7" s="41"/>
      <c r="D7" s="41"/>
      <c r="E7" s="41"/>
      <c r="F7" s="42"/>
      <c r="I7" s="40"/>
      <c r="J7" s="41"/>
      <c r="K7" s="41"/>
      <c r="L7" s="41"/>
      <c r="M7" s="42"/>
      <c r="P7" s="18" t="s">
        <v>12</v>
      </c>
      <c r="Q7" s="26">
        <v>27</v>
      </c>
      <c r="S7" s="18" t="s">
        <v>9</v>
      </c>
      <c r="T7" s="26">
        <v>27</v>
      </c>
    </row>
    <row r="8" spans="2:20" x14ac:dyDescent="0.25">
      <c r="B8" s="40"/>
      <c r="C8" s="41"/>
      <c r="D8" s="41"/>
      <c r="E8" s="41"/>
      <c r="F8" s="42"/>
      <c r="I8" s="40"/>
      <c r="J8" s="41"/>
      <c r="K8" s="41"/>
      <c r="L8" s="41"/>
      <c r="M8" s="42"/>
      <c r="P8" s="18" t="s">
        <v>21</v>
      </c>
      <c r="Q8" s="26">
        <v>19</v>
      </c>
      <c r="S8" s="18" t="s">
        <v>21</v>
      </c>
      <c r="T8" s="26">
        <v>19</v>
      </c>
    </row>
    <row r="9" spans="2:20" x14ac:dyDescent="0.25">
      <c r="B9" s="40"/>
      <c r="C9" s="41"/>
      <c r="D9" s="41"/>
      <c r="E9" s="41"/>
      <c r="F9" s="42"/>
      <c r="I9" s="40"/>
      <c r="J9" s="41"/>
      <c r="K9" s="41"/>
      <c r="L9" s="41"/>
      <c r="M9" s="42"/>
      <c r="P9" s="18" t="s">
        <v>19</v>
      </c>
      <c r="Q9" s="26">
        <v>14</v>
      </c>
      <c r="S9" s="18" t="s">
        <v>19</v>
      </c>
      <c r="T9" s="26">
        <v>14</v>
      </c>
    </row>
    <row r="10" spans="2:20" x14ac:dyDescent="0.25">
      <c r="B10" s="40"/>
      <c r="C10" s="41"/>
      <c r="D10" s="41"/>
      <c r="E10" s="41"/>
      <c r="F10" s="42"/>
      <c r="I10" s="40"/>
      <c r="J10" s="41"/>
      <c r="K10" s="41"/>
      <c r="L10" s="41"/>
      <c r="M10" s="42"/>
      <c r="N10" s="30"/>
      <c r="P10" s="18" t="s">
        <v>56</v>
      </c>
      <c r="Q10" s="26">
        <v>4</v>
      </c>
      <c r="S10" s="18" t="s">
        <v>56</v>
      </c>
      <c r="T10" s="26">
        <v>4</v>
      </c>
    </row>
    <row r="11" spans="2:20" x14ac:dyDescent="0.25">
      <c r="B11" s="40"/>
      <c r="C11" s="41"/>
      <c r="D11" s="41"/>
      <c r="E11" s="41"/>
      <c r="F11" s="42"/>
      <c r="I11" s="40"/>
      <c r="J11" s="41"/>
      <c r="K11" s="41"/>
      <c r="L11" s="41"/>
      <c r="M11" s="42"/>
      <c r="P11" s="18" t="s">
        <v>231</v>
      </c>
      <c r="Q11" s="26">
        <v>92</v>
      </c>
      <c r="S11" s="18" t="s">
        <v>231</v>
      </c>
      <c r="T11" s="26">
        <v>91</v>
      </c>
    </row>
    <row r="12" spans="2:20" x14ac:dyDescent="0.25">
      <c r="B12" s="40"/>
      <c r="C12" s="41"/>
      <c r="D12" s="41"/>
      <c r="E12" s="41"/>
      <c r="F12" s="42"/>
      <c r="I12" s="40"/>
      <c r="J12" s="41"/>
      <c r="K12" s="41"/>
      <c r="L12" s="41"/>
      <c r="M12" s="42"/>
    </row>
    <row r="13" spans="2:20" x14ac:dyDescent="0.25">
      <c r="B13" s="40"/>
      <c r="C13" s="41"/>
      <c r="D13" s="41"/>
      <c r="E13" s="41"/>
      <c r="F13" s="42"/>
      <c r="I13" s="40"/>
      <c r="J13" s="41"/>
      <c r="K13" s="41"/>
      <c r="L13" s="41"/>
      <c r="M13" s="42"/>
    </row>
    <row r="14" spans="2:20" x14ac:dyDescent="0.25">
      <c r="B14" s="40"/>
      <c r="C14" s="41"/>
      <c r="D14" s="41"/>
      <c r="E14" s="41"/>
      <c r="F14" s="42"/>
      <c r="I14" s="40"/>
      <c r="J14" s="41"/>
      <c r="K14" s="41"/>
      <c r="L14" s="41"/>
      <c r="M14" s="42"/>
    </row>
    <row r="15" spans="2:20" x14ac:dyDescent="0.25">
      <c r="B15" s="40"/>
      <c r="C15" s="41"/>
      <c r="D15" s="41"/>
      <c r="E15" s="41"/>
      <c r="F15" s="42"/>
      <c r="I15" s="40"/>
      <c r="J15" s="41"/>
      <c r="K15" s="41"/>
      <c r="L15" s="41"/>
      <c r="M15" s="42"/>
    </row>
    <row r="16" spans="2:20" x14ac:dyDescent="0.25">
      <c r="B16" s="40"/>
      <c r="C16" s="41"/>
      <c r="D16" s="41"/>
      <c r="E16" s="41"/>
      <c r="F16" s="42"/>
      <c r="I16" s="40"/>
      <c r="J16" s="41"/>
      <c r="K16" s="41"/>
      <c r="L16" s="41"/>
      <c r="M16" s="42"/>
    </row>
    <row r="17" spans="2:13" x14ac:dyDescent="0.25">
      <c r="B17" s="40"/>
      <c r="C17" s="41"/>
      <c r="D17" s="41"/>
      <c r="E17" s="41"/>
      <c r="F17" s="42"/>
      <c r="I17" s="40"/>
      <c r="J17" s="41"/>
      <c r="K17" s="41"/>
      <c r="L17" s="41"/>
      <c r="M17" s="42"/>
    </row>
    <row r="18" spans="2:13" x14ac:dyDescent="0.25">
      <c r="B18" s="43"/>
      <c r="C18" s="44"/>
      <c r="D18" s="44"/>
      <c r="E18" s="44"/>
      <c r="F18" s="45"/>
      <c r="I18" s="43"/>
      <c r="J18" s="44"/>
      <c r="K18" s="44"/>
      <c r="L18" s="44"/>
      <c r="M18" s="45"/>
    </row>
  </sheetData>
  <mergeCells count="3">
    <mergeCell ref="B3:M3"/>
    <mergeCell ref="B1:F1"/>
    <mergeCell ref="I1:M1"/>
  </mergeCells>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297AA1-1398-49C7-93FC-8FAF43FA44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Nz staff</vt:lpstr>
      <vt:lpstr>India Staff</vt:lpstr>
      <vt:lpstr>staff</vt:lpstr>
      <vt:lpstr>information finder</vt:lpstr>
      <vt:lpstr>Male vs female</vt:lpstr>
      <vt:lpstr>Salary vs rating</vt:lpstr>
      <vt:lpstr>headcount by departemen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fahriza</cp:lastModifiedBy>
  <dcterms:created xsi:type="dcterms:W3CDTF">2021-03-14T20:21:32Z</dcterms:created>
  <dcterms:modified xsi:type="dcterms:W3CDTF">2025-10-27T08:16:26Z</dcterms:modified>
</cp:coreProperties>
</file>