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A:\AntirShadow\Documents\GitHub\ProyectoRedes\Ventas\Propuesta Económica\"/>
    </mc:Choice>
  </mc:AlternateContent>
  <xr:revisionPtr revIDLastSave="0" documentId="13_ncr:1_{60BC313E-E3BA-4F76-B3AE-A259A27FDA8C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Cotización" sheetId="1" r:id="rId1"/>
    <sheet name="Ganancias" sheetId="4" r:id="rId2"/>
    <sheet name="Desglose Proyect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B22" i="4"/>
  <c r="C21" i="4"/>
  <c r="B21" i="4"/>
  <c r="G20" i="1"/>
  <c r="C6" i="4"/>
  <c r="H12" i="4"/>
  <c r="I5" i="4"/>
  <c r="H6" i="4"/>
  <c r="J5" i="4"/>
  <c r="K5" i="4" s="1"/>
  <c r="J4" i="4"/>
  <c r="K4" i="4" s="1"/>
  <c r="J3" i="4"/>
  <c r="K3" i="4" s="1"/>
  <c r="I4" i="4"/>
  <c r="I3" i="4"/>
  <c r="F18" i="1"/>
  <c r="F19" i="1"/>
  <c r="G19" i="1"/>
  <c r="H19" i="1" s="1"/>
  <c r="D16" i="1"/>
  <c r="G16" i="1" s="1"/>
  <c r="H16" i="1" s="1"/>
  <c r="D17" i="1"/>
  <c r="G17" i="1" s="1"/>
  <c r="H17" i="1" s="1"/>
  <c r="D15" i="1"/>
  <c r="G15" i="1" s="1"/>
  <c r="H15" i="1" s="1"/>
  <c r="D14" i="1"/>
  <c r="G14" i="1" s="1"/>
  <c r="H14" i="1" s="1"/>
  <c r="F13" i="1"/>
  <c r="G3" i="1"/>
  <c r="B4" i="4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F12" i="1"/>
  <c r="F7" i="1"/>
  <c r="F8" i="1"/>
  <c r="F9" i="1"/>
  <c r="F10" i="1"/>
  <c r="F11" i="1"/>
  <c r="F5" i="1"/>
  <c r="F6" i="1"/>
  <c r="G13" i="1"/>
  <c r="H13" i="1" s="1"/>
  <c r="G18" i="1"/>
  <c r="H18" i="1" s="1"/>
  <c r="G12" i="1"/>
  <c r="H12" i="1" s="1"/>
  <c r="F4" i="1"/>
  <c r="F3" i="1"/>
  <c r="C3" i="4" l="1"/>
  <c r="B3" i="4"/>
  <c r="B7" i="4" s="1"/>
  <c r="J6" i="4"/>
  <c r="K6" i="4"/>
  <c r="B5" i="4" s="1"/>
  <c r="I6" i="4"/>
  <c r="H3" i="1"/>
  <c r="H20" i="1" s="1"/>
  <c r="F17" i="1"/>
  <c r="F16" i="1"/>
  <c r="F15" i="1"/>
  <c r="F14" i="1"/>
  <c r="F20" i="1" s="1"/>
  <c r="B8" i="4" l="1"/>
  <c r="B3" i="2"/>
  <c r="C8" i="4"/>
  <c r="C3" i="2" s="1"/>
  <c r="C4" i="4"/>
  <c r="C5" i="4"/>
  <c r="C30" i="2" l="1"/>
  <c r="C29" i="2"/>
  <c r="C28" i="2"/>
  <c r="C27" i="2"/>
  <c r="C26" i="2"/>
  <c r="C31" i="2" s="1"/>
  <c r="B8" i="2"/>
  <c r="C8" i="2" s="1"/>
  <c r="B29" i="2"/>
  <c r="B28" i="2"/>
  <c r="B27" i="2"/>
  <c r="B26" i="2"/>
  <c r="B30" i="2"/>
  <c r="C7" i="4"/>
  <c r="D13" i="4"/>
  <c r="C13" i="4"/>
  <c r="B18" i="4" s="1"/>
  <c r="B9" i="2" l="1"/>
  <c r="C9" i="2" s="1"/>
  <c r="C22" i="2" s="1"/>
  <c r="B31" i="2"/>
  <c r="B22" i="2"/>
  <c r="G10" i="4"/>
  <c r="H17" i="4"/>
  <c r="H18" i="4" s="1"/>
  <c r="H23" i="4"/>
  <c r="I17" i="4"/>
  <c r="I18" i="4" s="1"/>
  <c r="I23" i="4"/>
  <c r="I24" i="4" s="1"/>
  <c r="G17" i="4"/>
  <c r="G23" i="4"/>
  <c r="G24" i="4" s="1"/>
  <c r="G11" i="4"/>
  <c r="B10" i="2" l="1"/>
  <c r="C10" i="2" s="1"/>
  <c r="B11" i="2"/>
  <c r="B20" i="2"/>
  <c r="B18" i="2"/>
  <c r="B21" i="2"/>
  <c r="B19" i="2"/>
  <c r="B17" i="2"/>
  <c r="C17" i="2"/>
  <c r="C19" i="2"/>
  <c r="C20" i="2"/>
  <c r="C21" i="2"/>
  <c r="C18" i="2"/>
  <c r="J17" i="4"/>
  <c r="G18" i="4"/>
  <c r="J18" i="4" s="1"/>
  <c r="J23" i="4"/>
  <c r="H24" i="4"/>
  <c r="J24" i="4" s="1"/>
  <c r="B12" i="2" l="1"/>
  <c r="C11" i="2"/>
  <c r="C12" i="2" l="1"/>
  <c r="B13" i="2"/>
  <c r="C13" i="2" s="1"/>
  <c r="G12" i="4"/>
</calcChain>
</file>

<file path=xl/sharedStrings.xml><?xml version="1.0" encoding="utf-8"?>
<sst xmlns="http://schemas.openxmlformats.org/spreadsheetml/2006/main" count="133" uniqueCount="109">
  <si>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</si>
  <si>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</si>
  <si>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</si>
  <si>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</si>
  <si>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</si>
  <si>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</si>
  <si>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</si>
  <si>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</si>
  <si>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https://www.cyberpuerta.mx/Computo-Hardware/Redes/Switches/Switch-Cisco-Gigabit-Ethernet-Business-CBS220-48-Puertos-10-100-1000Mbps-4-Puertos-SFP-104-Gbit-s-8192-Entradas-Gestionado.html</t>
  </si>
  <si>
    <t>Switch Cisco CBS220 48 Puertos + 4 Puertos SFP, 104 Gbit/s</t>
  </si>
  <si>
    <t>https://www.tradeinn.com/techinn/es/cisco-rv340-k9-g5/137369218/p?queryID=726d5332cec044ac7723d2f2c54231d9&amp;buscador_search</t>
  </si>
  <si>
    <t>Router Cisco RV340-K9-G5</t>
  </si>
  <si>
    <t>Servidores Armados</t>
  </si>
  <si>
    <t>Bobina Cat6 (500 metros)</t>
  </si>
  <si>
    <t>https://articulo.mercadolibre.com.mx/MLM-885299270-cable-de-red-utp-cat-6e-bobina-305m-exterior-_JM?matt_tool=28238160&amp;utm_source=google_shopping&amp;utm_medium=organic</t>
  </si>
  <si>
    <t>https://articulo.mercadolibre.com.mx/MLM-1300594446-100-piezas-cable-cat6-rj45-conectores-cat6-cat5e-rj45utp-_JM#position=5&amp;search_layout=grid&amp;type=item&amp;tracking_id=d26aa09f-a4f7-44a7-b455-ec3998c093b6</t>
  </si>
  <si>
    <t>Viáticos diarios P/Persona</t>
  </si>
  <si>
    <t>DESCUENTOS</t>
  </si>
  <si>
    <t>https://paquetes.cityexpress.com/reservar/detalle-reservacion-paquetes</t>
  </si>
  <si>
    <t>Veracruz Vuelo y Hospedaje Con Desayuno 2 Personas</t>
  </si>
  <si>
    <t>Guadalajara Vuelo y Hospedaje Con Desayuno 2 Personas</t>
  </si>
  <si>
    <t>Querétaro Vuelo y Hospedaje Con Desayuno 2 Personas</t>
  </si>
  <si>
    <t>Monterrey Vuelo y Hospedaje Con Desayuno 2 Personas</t>
  </si>
  <si>
    <t>https://www.priceline.com/rentalcars/Mexico%20City%20Mexico/Mexico%20City%20Mexico/20230516-10%3A00/20230530-10%3A00/list?detailsKey=MEXC001~MEXC001~R~N~~18822ce833f~~refCode-22-a769e839-1bbd-4f9f-b851-b7d56fef1fd1~20230516T10%3A00~20230530T10%3A00~AV~FQMR~USD~1068.52~~~~~878.00~1187.55~~*&amp;preferredPartnerCode=AV&amp;refid=PLKAYAK&amp;refclickid=CSR_RC%7CAvis%20Rent%20a%20Car%7C*Q**%7CMEXC001%7CMEXC001%7CPL%7C000%7C14%7Ctrue%7CRT%7CKC%3AsZFr71f8tJ8qTJz_MDLToA&amp;utm_medium=SHOP_PPC&amp;utm_source=PLKAYAK&amp;utm_term=CSR_RC%7CAvis%20Rent%20a%20Car%7C*Q**%7CMEXC001%7CMEXC001%7CPL%7C000%7C14%7Ctrue%7CRT%7CKC%3AsZFr71f8tJ8qTJz_MDLToA&amp;utm_content=CMP2&amp;utm_campaign=Car_Contract&amp;currencycode=USD&amp;carclass=FQMR&amp;dct=&amp;locale=&amp;pos=US&amp;currencyCode=USD&amp;slingshot=1774</t>
  </si>
  <si>
    <t>Gasolina Monterrey ida y vuelta</t>
  </si>
  <si>
    <t>Gasolina Guadalajara ida y vuelta</t>
  </si>
  <si>
    <t>Gasolina Querétaro ida y vuelta</t>
  </si>
  <si>
    <t>Gasolina Veracruz ida y vuelta</t>
  </si>
  <si>
    <t>Gastos movilidad</t>
  </si>
  <si>
    <t>https://www.distancial.com/Map/Ciudad%20de%20mexico/Queretaro</t>
  </si>
  <si>
    <t>https://www.distancial.com/Map/Ciudad%20de%20mexico/Veracruz</t>
  </si>
  <si>
    <t>https://www.distancial.com/Map/Ciudad%20de%20mexico/Jalisco</t>
  </si>
  <si>
    <t>https://www.distancial.com/distancia-de-cdmx-a-monterrey</t>
  </si>
  <si>
    <t>Pago chofer 15 días</t>
  </si>
  <si>
    <t>Camioneta transporte Accesorios y Movilidad</t>
  </si>
  <si>
    <t>Venta</t>
  </si>
  <si>
    <t>Ganacia</t>
  </si>
  <si>
    <t>Ganancia Bruta Por Persona</t>
  </si>
  <si>
    <t>Dolares</t>
  </si>
  <si>
    <t>Tipo de cambio</t>
  </si>
  <si>
    <t>Pesos</t>
  </si>
  <si>
    <t>Vigencia</t>
  </si>
  <si>
    <t>2 semanas</t>
  </si>
  <si>
    <t>Dólares</t>
  </si>
  <si>
    <t>Total</t>
  </si>
  <si>
    <t>Pago inicial: 25%</t>
  </si>
  <si>
    <t>Diseño de red: 30%</t>
  </si>
  <si>
    <t>Compra e instalación de equipos de red: 40%</t>
  </si>
  <si>
    <t>Monitoreo 1: 2.5%</t>
  </si>
  <si>
    <t>Monitoreo 2: 2.5%</t>
  </si>
  <si>
    <t>Total Proyecto Peso y Dolar</t>
  </si>
  <si>
    <t>Porcentajes</t>
  </si>
  <si>
    <t>Ganancia por Persona</t>
  </si>
  <si>
    <t>Ganancias del Proyecto</t>
  </si>
  <si>
    <t>Pagos Desglozados</t>
  </si>
  <si>
    <t>Descripción Planes de Pago</t>
  </si>
  <si>
    <t>Medios De Pago</t>
  </si>
  <si>
    <t>Tarjeta de Crédito</t>
  </si>
  <si>
    <t>Tarjeta de Débito</t>
  </si>
  <si>
    <t>Gastos Con porcentaje de Error</t>
  </si>
  <si>
    <t>Pago inicial: 25% del costo total del proyecto ($33,390.88 USD) al momento de firmar el contrato.
Diseño de red: 30% del costo total del proyecto ($40,069.05 USD) al completar el diseño de red y entregarlo al cliente para su aprobación.
Compra e instalación de equipos de red: 40% del costo total del proyecto ($53,425.40 USD) al completar la compra e instalación de los equipos de red en los 5 diferentes centros de la república.
Monitoreo preventivo: 2.5% del costo total del proyecto ($3,339.09 USD) al completar el primer monitoreo preventivo, medio año después de la instalación de los equipos de red.
Pago final: 2.5% del costo total del proyecto ($3,339.09) al completar el segundo monitoreo preventivo, 1 año después de la instalación de los equipos de red.</t>
  </si>
  <si>
    <t>Pago total: 100% del pago al momento de firmar contrato (Se aplica 5% de descuento al total del proyecto. De $133,563.50 USD a $126,885.33 USD).</t>
  </si>
  <si>
    <t>Impuestos Retenidos Por Persona</t>
  </si>
  <si>
    <t>Cheques</t>
  </si>
  <si>
    <t>Conector RJ45 Cat6 (100 piezas)</t>
  </si>
  <si>
    <t>Viáticos</t>
  </si>
  <si>
    <t>Material</t>
  </si>
  <si>
    <t>Pago Estimados Mensuales de Empleados</t>
  </si>
  <si>
    <t>Gerentes</t>
  </si>
  <si>
    <t>Analistas</t>
  </si>
  <si>
    <t>Capital Humano</t>
  </si>
  <si>
    <t>Proyectos estipulados por año</t>
  </si>
  <si>
    <t>Ganancia por proyecto</t>
  </si>
  <si>
    <t>Ganancia primer proyecto</t>
  </si>
  <si>
    <t>Utilidades</t>
  </si>
  <si>
    <t xml:space="preserve">Ganancia Utilidades </t>
  </si>
  <si>
    <t>Pago Neto</t>
  </si>
  <si>
    <t>Pago Bruto</t>
  </si>
  <si>
    <t>Trabajadores</t>
  </si>
  <si>
    <t>Concepto</t>
  </si>
  <si>
    <t>Puesto</t>
  </si>
  <si>
    <t>Total Neto</t>
  </si>
  <si>
    <t>Total Bruto</t>
  </si>
  <si>
    <t>Total proyecto con 13% de ganancia</t>
  </si>
  <si>
    <t>Utilidades por trabajador</t>
  </si>
  <si>
    <t>Ventas</t>
  </si>
  <si>
    <t>Líderes</t>
  </si>
  <si>
    <t>Total 60%</t>
  </si>
  <si>
    <t>(7) Analistas 5%</t>
  </si>
  <si>
    <t xml:space="preserve">(1) Líder 15% </t>
  </si>
  <si>
    <t>(1) Gerente 10%</t>
  </si>
  <si>
    <t>Por Puesto</t>
  </si>
  <si>
    <t>Por Integrante</t>
  </si>
  <si>
    <t>Diseño y Soporte</t>
  </si>
  <si>
    <t>Total 40%</t>
  </si>
  <si>
    <t>(2) Gerente 2.5%</t>
  </si>
  <si>
    <t>(16) Analistas 1.75%</t>
  </si>
  <si>
    <t xml:space="preserve">(2) Líder 3.5% </t>
  </si>
  <si>
    <t>Área</t>
  </si>
  <si>
    <t>Porcentaje</t>
  </si>
  <si>
    <t>Monto</t>
  </si>
  <si>
    <t>Costos Totales</t>
  </si>
  <si>
    <t>Ganacias</t>
  </si>
  <si>
    <t>Proyectos Estipulados</t>
  </si>
  <si>
    <t>Ganancia estipulada por año</t>
  </si>
  <si>
    <t>Gastos Servicios</t>
  </si>
  <si>
    <t>Pago de contado</t>
  </si>
  <si>
    <t>Columna1</t>
  </si>
  <si>
    <t>Pago por hitos más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</si>
</sst>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36"/>
      <color rgb="FFFFFFFF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</font>
    <font>
      <u val="singleAccounting"/>
      <sz val="11"/>
      <color rgb="FF006100"/>
      <name val="Arial"/>
      <family val="2"/>
      <scheme val="minor"/>
    </font>
    <font>
      <b/>
      <u/>
      <sz val="11"/>
      <color theme="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3" fillId="4" borderId="0" applyNumberFormat="0" applyBorder="0" applyAlignment="0" applyProtection="0"/>
    <xf numFmtId="0" fontId="14" fillId="5" borderId="2" applyNumberFormat="0" applyAlignment="0" applyProtection="0"/>
    <xf numFmtId="9" fontId="8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83">
    <xf numFmtId="0" fontId="0" fillId="0" borderId="0" xfId="0"/>
    <xf numFmtId="0" fontId="5" fillId="3" borderId="0" xfId="0" applyFont="1" applyFill="1" applyAlignment="1">
      <alignment horizontal="center" vertical="top" wrapText="1"/>
    </xf>
    <xf numFmtId="0" fontId="11" fillId="0" borderId="0" xfId="0" applyFont="1"/>
    <xf numFmtId="0" fontId="0" fillId="0" borderId="0" xfId="0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7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5" borderId="3" xfId="4" applyBorder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  <xf numFmtId="1" fontId="9" fillId="0" borderId="0" xfId="2" applyNumberFormat="1" applyFont="1" applyAlignment="1">
      <alignment horizontal="center" vertical="center"/>
    </xf>
    <xf numFmtId="44" fontId="9" fillId="0" borderId="0" xfId="2" applyFont="1" applyAlignment="1">
      <alignment horizontal="center" vertical="center"/>
    </xf>
    <xf numFmtId="0" fontId="15" fillId="3" borderId="0" xfId="0" applyFont="1" applyFill="1" applyAlignment="1">
      <alignment horizontal="center" vertical="top" wrapText="1"/>
    </xf>
    <xf numFmtId="1" fontId="6" fillId="0" borderId="0" xfId="5" applyNumberFormat="1" applyFont="1" applyAlignment="1">
      <alignment horizontal="center" vertical="center"/>
    </xf>
    <xf numFmtId="1" fontId="0" fillId="0" borderId="0" xfId="5" applyNumberFormat="1" applyFont="1" applyAlignment="1">
      <alignment horizontal="center" vertical="center"/>
    </xf>
    <xf numFmtId="0" fontId="14" fillId="5" borderId="3" xfId="4" applyBorder="1"/>
    <xf numFmtId="44" fontId="0" fillId="0" borderId="0" xfId="0" applyNumberFormat="1"/>
    <xf numFmtId="44" fontId="13" fillId="4" borderId="3" xfId="3" applyNumberFormat="1" applyBorder="1"/>
    <xf numFmtId="0" fontId="13" fillId="4" borderId="3" xfId="3" applyBorder="1"/>
    <xf numFmtId="0" fontId="14" fillId="5" borderId="2" xfId="4" applyAlignment="1">
      <alignment horizontal="center" vertical="center"/>
    </xf>
    <xf numFmtId="1" fontId="14" fillId="5" borderId="3" xfId="4" applyNumberFormat="1" applyBorder="1" applyAlignment="1">
      <alignment horizontal="center" vertical="center"/>
    </xf>
    <xf numFmtId="0" fontId="14" fillId="5" borderId="3" xfId="4" applyBorder="1" applyAlignment="1">
      <alignment horizontal="left" vertical="center"/>
    </xf>
    <xf numFmtId="0" fontId="3" fillId="0" borderId="0" xfId="6" applyFill="1" applyAlignment="1">
      <alignment vertical="top" wrapText="1"/>
    </xf>
    <xf numFmtId="0" fontId="3" fillId="0" borderId="0" xfId="7" applyFill="1" applyAlignment="1">
      <alignment vertical="top" wrapText="1"/>
    </xf>
    <xf numFmtId="165" fontId="14" fillId="5" borderId="2" xfId="4" applyNumberFormat="1" applyAlignment="1">
      <alignment horizontal="center" vertical="center"/>
    </xf>
    <xf numFmtId="165" fontId="14" fillId="9" borderId="2" xfId="4" applyNumberFormat="1" applyFill="1" applyAlignment="1">
      <alignment horizontal="center" vertical="center"/>
    </xf>
    <xf numFmtId="44" fontId="13" fillId="4" borderId="3" xfId="3" applyNumberFormat="1" applyBorder="1" applyAlignment="1">
      <alignment horizontal="center" vertical="center"/>
    </xf>
    <xf numFmtId="44" fontId="13" fillId="4" borderId="3" xfId="2" applyFont="1" applyFill="1" applyBorder="1" applyAlignment="1">
      <alignment horizontal="center" vertical="center"/>
    </xf>
    <xf numFmtId="44" fontId="13" fillId="4" borderId="3" xfId="2" applyFont="1" applyFill="1" applyBorder="1"/>
    <xf numFmtId="44" fontId="6" fillId="0" borderId="0" xfId="2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16" fillId="4" borderId="3" xfId="3" applyNumberFormat="1" applyFont="1" applyBorder="1"/>
    <xf numFmtId="0" fontId="14" fillId="5" borderId="2" xfId="4"/>
    <xf numFmtId="0" fontId="14" fillId="5" borderId="8" xfId="4" applyBorder="1"/>
    <xf numFmtId="4" fontId="0" fillId="0" borderId="0" xfId="0" applyNumberFormat="1"/>
    <xf numFmtId="0" fontId="17" fillId="5" borderId="2" xfId="4" applyFont="1" applyAlignment="1">
      <alignment horizontal="center"/>
    </xf>
    <xf numFmtId="0" fontId="12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165" fontId="0" fillId="0" borderId="0" xfId="0" applyNumberFormat="1"/>
    <xf numFmtId="3" fontId="0" fillId="0" borderId="0" xfId="0" applyNumberFormat="1"/>
    <xf numFmtId="9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19" fillId="13" borderId="0" xfId="0" applyFont="1" applyFill="1"/>
    <xf numFmtId="0" fontId="18" fillId="10" borderId="9" xfId="0" applyFont="1" applyFill="1" applyBorder="1" applyAlignment="1">
      <alignment horizontal="center"/>
    </xf>
    <xf numFmtId="165" fontId="18" fillId="10" borderId="9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165" fontId="18" fillId="0" borderId="9" xfId="0" applyNumberFormat="1" applyFont="1" applyBorder="1" applyAlignment="1">
      <alignment horizontal="center"/>
    </xf>
    <xf numFmtId="0" fontId="18" fillId="14" borderId="9" xfId="0" applyFont="1" applyFill="1" applyBorder="1" applyAlignment="1">
      <alignment horizontal="center"/>
    </xf>
    <xf numFmtId="165" fontId="18" fillId="14" borderId="9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5" borderId="0" xfId="4" applyBorder="1"/>
    <xf numFmtId="9" fontId="14" fillId="5" borderId="2" xfId="4" applyNumberFormat="1" applyAlignment="1">
      <alignment horizontal="center"/>
    </xf>
    <xf numFmtId="10" fontId="14" fillId="5" borderId="2" xfId="4" applyNumberFormat="1" applyAlignment="1">
      <alignment horizontal="center"/>
    </xf>
    <xf numFmtId="164" fontId="13" fillId="4" borderId="2" xfId="3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4" fillId="5" borderId="2" xfId="4" applyAlignment="1">
      <alignment horizontal="center"/>
    </xf>
    <xf numFmtId="0" fontId="14" fillId="5" borderId="4" xfId="4" applyBorder="1" applyAlignment="1">
      <alignment horizontal="center"/>
    </xf>
    <xf numFmtId="0" fontId="14" fillId="5" borderId="5" xfId="4" applyBorder="1" applyAlignment="1">
      <alignment horizontal="center"/>
    </xf>
    <xf numFmtId="0" fontId="14" fillId="5" borderId="6" xfId="4" applyBorder="1" applyAlignment="1">
      <alignment horizontal="center"/>
    </xf>
    <xf numFmtId="0" fontId="2" fillId="6" borderId="0" xfId="6" applyFont="1" applyAlignment="1">
      <alignment horizontal="center" vertical="center" wrapText="1"/>
    </xf>
    <xf numFmtId="0" fontId="3" fillId="6" borderId="0" xfId="6" applyAlignment="1">
      <alignment horizontal="center" vertical="center" wrapText="1"/>
    </xf>
    <xf numFmtId="0" fontId="3" fillId="7" borderId="0" xfId="7" applyAlignment="1">
      <alignment horizontal="center" vertical="center" wrapText="1"/>
    </xf>
    <xf numFmtId="0" fontId="14" fillId="8" borderId="7" xfId="4" applyFill="1" applyBorder="1" applyAlignment="1">
      <alignment horizontal="center"/>
    </xf>
    <xf numFmtId="0" fontId="14" fillId="8" borderId="0" xfId="4" applyFill="1" applyBorder="1" applyAlignment="1">
      <alignment horizontal="center"/>
    </xf>
    <xf numFmtId="14" fontId="14" fillId="8" borderId="2" xfId="4" applyNumberFormat="1" applyFill="1" applyAlignment="1">
      <alignment horizontal="center" vertical="center"/>
    </xf>
    <xf numFmtId="0" fontId="14" fillId="8" borderId="2" xfId="4" applyFill="1" applyAlignment="1">
      <alignment horizontal="center" vertical="center"/>
    </xf>
    <xf numFmtId="0" fontId="14" fillId="8" borderId="10" xfId="4" applyFill="1" applyBorder="1" applyAlignment="1">
      <alignment horizontal="center"/>
    </xf>
    <xf numFmtId="0" fontId="14" fillId="8" borderId="11" xfId="4" applyFill="1" applyBorder="1" applyAlignment="1">
      <alignment horizontal="center"/>
    </xf>
    <xf numFmtId="0" fontId="14" fillId="8" borderId="4" xfId="4" applyFill="1" applyBorder="1" applyAlignment="1">
      <alignment horizontal="center"/>
    </xf>
    <xf numFmtId="0" fontId="14" fillId="8" borderId="5" xfId="4" applyFill="1" applyBorder="1" applyAlignment="1">
      <alignment horizontal="center"/>
    </xf>
    <xf numFmtId="0" fontId="14" fillId="8" borderId="6" xfId="4" applyFill="1" applyBorder="1" applyAlignment="1">
      <alignment horizontal="center"/>
    </xf>
    <xf numFmtId="0" fontId="14" fillId="15" borderId="0" xfId="4" applyFill="1" applyBorder="1" applyAlignment="1">
      <alignment horizontal="center"/>
    </xf>
    <xf numFmtId="44" fontId="0" fillId="0" borderId="0" xfId="0" applyNumberFormat="1" applyFont="1" applyAlignment="1">
      <alignment horizontal="center" vertical="center"/>
    </xf>
    <xf numFmtId="0" fontId="1" fillId="7" borderId="0" xfId="7" applyFont="1" applyAlignment="1">
      <alignment horizontal="center" vertical="center" wrapText="1"/>
    </xf>
  </cellXfs>
  <cellStyles count="8">
    <cellStyle name="20% - Énfasis1" xfId="6" builtinId="30"/>
    <cellStyle name="40% - Énfasis6" xfId="7" builtinId="51"/>
    <cellStyle name="Bueno" xfId="3" builtinId="26"/>
    <cellStyle name="Celda de comprobación" xfId="4" builtinId="23"/>
    <cellStyle name="Hipervínculo" xfId="1" builtinId="8"/>
    <cellStyle name="Moneda" xfId="2" builtinId="4"/>
    <cellStyle name="Normal" xfId="0" builtinId="0"/>
    <cellStyle name="Porcentaje" xfId="5" builtinId="5"/>
  </cellStyles>
  <dxfs count="62">
    <dxf>
      <numFmt numFmtId="165" formatCode="&quot;$&quot;#,##0.00"/>
    </dxf>
    <dxf>
      <numFmt numFmtId="165" formatCode="&quot;$&quot;#,##0.0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&quot;$&quot;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&quot;$&quot;#,##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solid">
          <fgColor theme="4"/>
          <bgColor theme="4"/>
        </patternFill>
      </fill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5" formatCode="&quot;$&quot;#,##0.0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CAE73-387D-4728-94B4-6CA7A8B0F168}" name="Tabla1" displayName="Tabla1" ref="A2:I20" totalsRowCount="1" headerRowDxfId="61">
  <autoFilter ref="A2:I19" xr:uid="{260CAE73-387D-4728-94B4-6CA7A8B0F168}"/>
  <tableColumns count="9">
    <tableColumn id="1" xr3:uid="{F6F1872D-62D6-465A-9EB6-D1E64C7FD1EA}" name="N ITEM" dataDxfId="60" totalsRowDxfId="10"/>
    <tableColumn id="2" xr3:uid="{05A4D583-BEEA-420F-8DC9-DB385506B921}" name="DESCRIPCIÓN" dataDxfId="59" totalsRowDxfId="9"/>
    <tableColumn id="3" xr3:uid="{16119888-3FB2-48ED-BB90-CB4798528804}" name="NO. DE PARTE" dataDxfId="58" totalsRowDxfId="8" dataCellStyle="Moneda" totalsRowCellStyle="Moneda"/>
    <tableColumn id="4" xr3:uid="{17DCB875-5E51-4C91-B16E-78560646B0A5}" name="PRECIO UNITARIO" dataDxfId="57" totalsRowDxfId="7" dataCellStyle="Moneda" totalsRowCellStyle="Moneda"/>
    <tableColumn id="8" xr3:uid="{9504F072-2CE8-4154-ADE6-5071E962149C}" name="DESCUENTOS" totalsRowDxfId="6" totalsRowCellStyle="Porcentaje"/>
    <tableColumn id="5" xr3:uid="{DAECB143-E7A2-4C29-91CB-3EBCE0FFA4CA}" name="SUBTOTAL" totalsRowFunction="custom" dataDxfId="56" totalsRowDxfId="5" dataCellStyle="Moneda" totalsRowCellStyle="Moneda">
      <totalsRowFormula>SUM(Tabla1[SUBTOTAL])</totalsRowFormula>
    </tableColumn>
    <tableColumn id="10" xr3:uid="{B913AF07-4667-4467-8BAC-58B0321E83ED}" name="TOTAL" totalsRowFunction="sum" dataDxfId="55" totalsRowDxfId="4" dataCellStyle="Moneda">
      <calculatedColumnFormula>(C3*D3)*(100/100)</calculatedColumnFormula>
    </tableColumn>
    <tableColumn id="9" xr3:uid="{1ADA9541-18CA-4B01-BDAC-D6008F0FAA29}" name="Dolares" totalsRowFunction="custom" dataDxfId="54" totalsRowDxfId="3" dataCellStyle="Moneda" totalsRowCellStyle="Moneda">
      <calculatedColumnFormula>G3/'Desglose Proyecto'!$F2</calculatedColumnFormula>
      <totalsRowFormula>SUM(Tabla1[Dolares])</totalsRowFormula>
    </tableColumn>
    <tableColumn id="6" xr3:uid="{CDC3B595-CE04-4E68-9C64-2BFC0D49CE76}" name="LINK" dataDxfId="53" totalsRowDxfId="2" dataCellStyle="Hipervínculo" totalsRowCellStyle="Hipervíncul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919356-977F-4326-92E2-64F4B3282528}" name="Tabla5" displayName="Tabla5" ref="F22:J24" totalsRowShown="0" headerRowDxfId="52" dataDxfId="51">
  <autoFilter ref="F22:J24" xr:uid="{20919356-977F-4326-92E2-64F4B3282528}"/>
  <tableColumns count="5">
    <tableColumn id="1" xr3:uid="{12BB4967-A0EC-47C2-94CF-ABDED50BB184}" name="Concepto" dataDxfId="50"/>
    <tableColumn id="2" xr3:uid="{DE254E74-6A62-4711-8ECF-6A8E9062A0DD}" name="(2) Líder 3.5% " dataDxfId="49">
      <calculatedColumnFormula>G22*2</calculatedColumnFormula>
    </tableColumn>
    <tableColumn id="3" xr3:uid="{43D2DA0D-5082-446E-B80E-7FFF41AAEA17}" name="(2) Gerente 2.5%" dataDxfId="48">
      <calculatedColumnFormula>H22*2</calculatedColumnFormula>
    </tableColumn>
    <tableColumn id="4" xr3:uid="{849742BC-6BF7-43C1-B500-6C257DCC51C1}" name="(16) Analistas 1.75%" dataDxfId="47">
      <calculatedColumnFormula>I22*16</calculatedColumnFormula>
    </tableColumn>
    <tableColumn id="5" xr3:uid="{8E75BFFB-DEEC-49BB-9BB0-9295F8E8EB4A}" name="Total 40%" dataDxfId="46">
      <calculatedColumnFormula>SUM(G23:I23)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5B30D9-E551-4A10-8739-D12371AE1EA5}" name="Tabla6" displayName="Tabla6" ref="F16:J18" totalsRowShown="0" headerRowDxfId="45" dataDxfId="44">
  <autoFilter ref="F16:J18" xr:uid="{565B30D9-E551-4A10-8739-D12371AE1EA5}"/>
  <tableColumns count="5">
    <tableColumn id="1" xr3:uid="{AFE10B96-5E2C-495F-9A49-14562A496440}" name="Concepto" dataDxfId="43"/>
    <tableColumn id="2" xr3:uid="{0913AC21-B82A-4B29-8C21-4A10C44B4EF1}" name="(1) Líder 15% " dataDxfId="42">
      <calculatedColumnFormula>G16*1</calculatedColumnFormula>
    </tableColumn>
    <tableColumn id="3" xr3:uid="{048391CB-0150-484A-B3AE-848C7C4B73FA}" name="(1) Gerente 10%" dataDxfId="41">
      <calculatedColumnFormula>H16*1</calculatedColumnFormula>
    </tableColumn>
    <tableColumn id="4" xr3:uid="{A02D041D-61B3-4AD6-9D1B-7E9A3DD06E3C}" name="(7) Analistas 5%" dataDxfId="40">
      <calculatedColumnFormula>I16*7</calculatedColumnFormula>
    </tableColumn>
    <tableColumn id="5" xr3:uid="{1A230BE7-51B6-483D-AA7E-EB13A625B930}" name="Total 60%" dataDxfId="39">
      <calculatedColumnFormula>SUM(G17:I17)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A8EAD0-2443-4824-A121-015CC47BE345}" name="Tabla8" displayName="Tabla8" ref="F9:H12" totalsRowShown="0" headerRowDxfId="38" dataDxfId="37">
  <autoFilter ref="F9:H12" xr:uid="{4CA8EAD0-2443-4824-A121-015CC47BE345}"/>
  <tableColumns count="3">
    <tableColumn id="1" xr3:uid="{D96B10B6-AE69-4E95-984A-E03481C883EB}" name="Área" dataDxfId="36"/>
    <tableColumn id="2" xr3:uid="{3CFD502B-0E1B-4EB7-985F-47BC0F13980E}" name="Monto" dataDxfId="35"/>
    <tableColumn id="3" xr3:uid="{63E7BF9B-C40C-4485-954B-B16D5369E209}" name="Porcentaje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A26C5-F960-4632-835A-B9C0268D283E}" name="Tabla9" displayName="Tabla9" ref="A2:C8" totalsRowShown="0" headerRowDxfId="33" dataDxfId="32" tableBorderDxfId="31">
  <autoFilter ref="A2:C8" xr:uid="{C39A26C5-F960-4632-835A-B9C0268D283E}"/>
  <tableColumns count="3">
    <tableColumn id="1" xr3:uid="{ABFCA3A7-240A-4330-9203-C31ABD7D3E14}" name="Concepto" dataDxfId="30"/>
    <tableColumn id="2" xr3:uid="{32216176-E28D-4E81-AA9F-10B53CFC3523}" name="Pesos" dataDxfId="29"/>
    <tableColumn id="3" xr3:uid="{9E310222-60BE-42CD-8E45-256965DF90C1}" name="Dolares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986B9D-F4ED-4020-9784-E06831A258B1}" name="Tabla10" displayName="Tabla10" ref="F2:K6" totalsRowShown="0" headerRowDxfId="27" dataDxfId="26" tableBorderDxfId="25">
  <autoFilter ref="F2:K6" xr:uid="{5B986B9D-F4ED-4020-9784-E06831A258B1}"/>
  <tableColumns count="6">
    <tableColumn id="1" xr3:uid="{5C653465-B6BA-4AC8-B709-ACD1B9A6BE73}" name="Puesto" dataDxfId="24"/>
    <tableColumn id="2" xr3:uid="{A62DF563-54CB-4ACC-9883-D1994542B957}" name="Trabajadores" dataDxfId="23"/>
    <tableColumn id="3" xr3:uid="{2F82C254-A799-4EA3-8CFA-E04AE1011172}" name="Pago Neto" dataDxfId="22"/>
    <tableColumn id="4" xr3:uid="{D928B40D-8F1A-4FB7-8702-50703EAFD732}" name="Total Neto" dataDxfId="21"/>
    <tableColumn id="5" xr3:uid="{DC0DCA79-930F-418D-BA60-A35E49833608}" name="Pago Bruto" dataDxfId="20"/>
    <tableColumn id="6" xr3:uid="{9646910A-9D30-4F52-9350-34C6FC4C9CA0}" name="Total Bruto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8E9C3D-ADDF-4AEC-8491-6B1C9902F59B}" name="Tabla11" displayName="Tabla11" ref="A12:D13" totalsRowShown="0" dataDxfId="18">
  <autoFilter ref="A12:D13" xr:uid="{678E9C3D-ADDF-4AEC-8491-6B1C9902F59B}"/>
  <tableColumns count="4">
    <tableColumn id="1" xr3:uid="{0BFDCA61-F49D-40A0-BD3C-0CFCE3B44A55}" name="Ganancia por proyecto" dataDxfId="17"/>
    <tableColumn id="2" xr3:uid="{127716A6-6B3E-4808-B776-B55C12097061}" name="Ganancia Utilidades " dataDxfId="16"/>
    <tableColumn id="3" xr3:uid="{8DEE9201-C992-420B-9166-DA6B0FD7984B}" name="Ganancia primer proyecto" dataDxfId="15">
      <calculatedColumnFormula>B7*A13</calculatedColumnFormula>
    </tableColumn>
    <tableColumn id="4" xr3:uid="{CB44B8CB-D122-449A-861B-08BA6FCCA54A}" name="Utilidades" dataDxfId="14">
      <calculatedColumnFormula>B7*B13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B69035-324E-4B37-9D80-CD98D2CAB70D}" name="Tabla12" displayName="Tabla12" ref="A17:B18" totalsRowShown="0" dataDxfId="13">
  <autoFilter ref="A17:B18" xr:uid="{AEB69035-324E-4B37-9D80-CD98D2CAB70D}"/>
  <tableColumns count="2">
    <tableColumn id="1" xr3:uid="{28DA4F60-7519-4F1A-841F-FE3065D96144}" name="Proyectos estipulados por año" dataDxfId="12"/>
    <tableColumn id="2" xr3:uid="{5BBEAA27-3607-4F9B-8548-F3B929D1D3E6}" name="Ganancia estipulada por año" dataDxfId="11">
      <calculatedColumnFormula>C13*A18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7F203-5E73-4B62-B2FC-76F782727FC3}" name="Tabla2" displayName="Tabla2" ref="A20:C22" totalsRowShown="0" headerRowCellStyle="Bueno" dataCellStyle="Bueno">
  <autoFilter ref="A20:C22" xr:uid="{DFD7F203-5E73-4B62-B2FC-76F782727FC3}"/>
  <tableColumns count="3">
    <tableColumn id="1" xr3:uid="{F5175C70-DD95-42B7-A3C2-9FAC3CB41A69}" name="Columna1"/>
    <tableColumn id="2" xr3:uid="{E5C3CECC-4074-4FE1-9310-5A4238CD3862}" name="Pesos" dataDxfId="1">
      <calculatedColumnFormula>B7*1.05</calculatedColumnFormula>
    </tableColumn>
    <tableColumn id="3" xr3:uid="{2333B409-3353-495F-AB77-F54B72B48EB7}" name="Dólares" dataDxfId="0">
      <calculatedColumnFormula>C7*1.05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rticulo.mercadolibre.com.mx/MLM-885299270-cable-de-red-utp-cat-6e-bobina-305m-exterior-_JM?matt_tool=28238160&amp;utm_source=google_shopping&amp;utm_medium=organic" TargetMode="External"/><Relationship Id="rId7" Type="http://schemas.openxmlformats.org/officeDocument/2006/relationships/hyperlink" Target="https://articulo.mercadolibre.com.mx/MLM-1300594446-100-piezas-cable-cat6-rj45-conectores-cat6-cat5e-rj45utp-_JM" TargetMode="External"/><Relationship Id="rId2" Type="http://schemas.openxmlformats.org/officeDocument/2006/relationships/hyperlink" Target="https://www.tradeinn.com/techinn/es/cisco-rv340-k9-g5/137369218/p?queryID=726d5332cec044ac7723d2f2c54231d9&amp;buscador_search" TargetMode="External"/><Relationship Id="rId1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6" Type="http://schemas.openxmlformats.org/officeDocument/2006/relationships/hyperlink" Target="https://paquetes.cityexpress.com/reservar/detalle-reservacion-paquetes" TargetMode="External"/><Relationship Id="rId5" Type="http://schemas.openxmlformats.org/officeDocument/2006/relationships/hyperlink" Target="https://paquetes.cityexpress.com/reservar/detalle-reservacion-paquetes" TargetMode="External"/><Relationship Id="rId4" Type="http://schemas.openxmlformats.org/officeDocument/2006/relationships/hyperlink" Target="https://paquetes.cityexpress.com/reservar/detalle-reservacion-paquetes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5"/>
  <sheetViews>
    <sheetView topLeftCell="B1" zoomScaleNormal="100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1" sqref="C21"/>
    </sheetView>
  </sheetViews>
  <sheetFormatPr baseColWidth="10" defaultColWidth="12.5703125" defaultRowHeight="15.75" customHeight="1" x14ac:dyDescent="0.2"/>
  <cols>
    <col min="1" max="1" width="47.42578125" bestFit="1" customWidth="1"/>
    <col min="2" max="2" width="52.5703125" bestFit="1" customWidth="1"/>
    <col min="3" max="3" width="29.28515625" bestFit="1" customWidth="1"/>
    <col min="4" max="4" width="28.5703125" bestFit="1" customWidth="1"/>
    <col min="5" max="5" width="23.7109375" bestFit="1" customWidth="1"/>
    <col min="6" max="6" width="19.85546875" bestFit="1" customWidth="1"/>
    <col min="7" max="7" width="14.42578125" bestFit="1" customWidth="1"/>
    <col min="8" max="8" width="19.5703125" bestFit="1" customWidth="1"/>
    <col min="10" max="10" width="2.5703125" customWidth="1"/>
  </cols>
  <sheetData>
    <row r="1" spans="1:9" ht="46.5" x14ac:dyDescent="0.7">
      <c r="A1" s="62" t="s">
        <v>0</v>
      </c>
      <c r="B1" s="63"/>
      <c r="C1" s="63"/>
      <c r="D1" s="63"/>
      <c r="E1" s="63"/>
      <c r="F1" s="63"/>
      <c r="G1" s="63"/>
      <c r="H1" s="63"/>
      <c r="I1" s="63"/>
    </row>
    <row r="2" spans="1:9" ht="18" x14ac:dyDescent="0.2">
      <c r="A2" s="1" t="s">
        <v>1</v>
      </c>
      <c r="B2" s="1" t="s">
        <v>2</v>
      </c>
      <c r="C2" s="1" t="s">
        <v>3</v>
      </c>
      <c r="D2" s="1" t="s">
        <v>4</v>
      </c>
      <c r="E2" s="11" t="s">
        <v>17</v>
      </c>
      <c r="F2" s="1" t="s">
        <v>5</v>
      </c>
      <c r="G2" s="11" t="s">
        <v>6</v>
      </c>
      <c r="H2" s="11" t="s">
        <v>38</v>
      </c>
      <c r="I2" s="1" t="s">
        <v>7</v>
      </c>
    </row>
    <row r="3" spans="1:9" ht="15.75" customHeight="1" x14ac:dyDescent="0.2">
      <c r="A3" s="3">
        <v>1</v>
      </c>
      <c r="B3" s="35" t="s">
        <v>9</v>
      </c>
      <c r="C3" s="4">
        <v>15</v>
      </c>
      <c r="D3" s="28">
        <v>8969</v>
      </c>
      <c r="E3" s="12">
        <v>15</v>
      </c>
      <c r="F3" s="29">
        <f t="shared" ref="F3:F19" si="0">C3*D3</f>
        <v>134535</v>
      </c>
      <c r="G3" s="10">
        <f t="shared" ref="G3:G19" si="1">(C3*D3)*(100/100)</f>
        <v>134535</v>
      </c>
      <c r="H3" s="10">
        <f>G3/'Desglose Proyecto'!F2</f>
        <v>7705.3264604810993</v>
      </c>
      <c r="I3" s="5" t="s">
        <v>8</v>
      </c>
    </row>
    <row r="4" spans="1:9" ht="15.75" customHeight="1" x14ac:dyDescent="0.2">
      <c r="A4" s="3">
        <v>2</v>
      </c>
      <c r="B4" s="38" t="s">
        <v>11</v>
      </c>
      <c r="C4" s="4">
        <v>5</v>
      </c>
      <c r="D4" s="28">
        <v>11310</v>
      </c>
      <c r="E4" s="12">
        <v>5</v>
      </c>
      <c r="F4" s="29">
        <f t="shared" si="0"/>
        <v>56550</v>
      </c>
      <c r="G4" s="10">
        <f t="shared" si="1"/>
        <v>56550</v>
      </c>
      <c r="H4" s="10">
        <f>G4/'Desglose Proyecto'!F2</f>
        <v>3238.8316151202748</v>
      </c>
      <c r="I4" s="5" t="s">
        <v>10</v>
      </c>
    </row>
    <row r="5" spans="1:9" ht="15.75" customHeight="1" x14ac:dyDescent="0.2">
      <c r="A5" s="3">
        <v>3</v>
      </c>
      <c r="B5" s="37" t="s">
        <v>12</v>
      </c>
      <c r="C5" s="4">
        <v>3</v>
      </c>
      <c r="D5" s="29">
        <v>30000</v>
      </c>
      <c r="E5" s="12">
        <v>0</v>
      </c>
      <c r="F5" s="29">
        <f t="shared" si="0"/>
        <v>90000</v>
      </c>
      <c r="G5" s="10">
        <f t="shared" si="1"/>
        <v>90000</v>
      </c>
      <c r="H5" s="10">
        <f>G5/'Desglose Proyecto'!F2</f>
        <v>5154.6391752577319</v>
      </c>
      <c r="I5" s="6"/>
    </row>
    <row r="6" spans="1:9" ht="12.75" x14ac:dyDescent="0.2">
      <c r="A6" s="3">
        <v>4</v>
      </c>
      <c r="B6" s="36" t="s">
        <v>13</v>
      </c>
      <c r="C6" s="4">
        <v>9</v>
      </c>
      <c r="D6" s="29">
        <v>1149</v>
      </c>
      <c r="E6" s="12">
        <v>10</v>
      </c>
      <c r="F6" s="29">
        <f t="shared" si="0"/>
        <v>10341</v>
      </c>
      <c r="G6" s="10">
        <f t="shared" si="1"/>
        <v>10341</v>
      </c>
      <c r="H6" s="10">
        <f>G6/'Desglose Proyecto'!F2</f>
        <v>592.26804123711338</v>
      </c>
      <c r="I6" s="5" t="s">
        <v>14</v>
      </c>
    </row>
    <row r="7" spans="1:9" ht="12.75" x14ac:dyDescent="0.2">
      <c r="A7" s="3">
        <v>5</v>
      </c>
      <c r="B7" s="36" t="s">
        <v>64</v>
      </c>
      <c r="C7" s="4">
        <v>5</v>
      </c>
      <c r="D7" s="29">
        <v>152.28</v>
      </c>
      <c r="E7" s="12">
        <v>0</v>
      </c>
      <c r="F7" s="29">
        <f t="shared" si="0"/>
        <v>761.4</v>
      </c>
      <c r="G7" s="10">
        <f t="shared" si="1"/>
        <v>761.4</v>
      </c>
      <c r="H7" s="10">
        <f>G7/'Desglose Proyecto'!F2</f>
        <v>43.608247422680407</v>
      </c>
      <c r="I7" s="5" t="s">
        <v>15</v>
      </c>
    </row>
    <row r="8" spans="1:9" ht="12.75" x14ac:dyDescent="0.2">
      <c r="A8" s="3">
        <v>6</v>
      </c>
      <c r="B8" s="39" t="s">
        <v>16</v>
      </c>
      <c r="C8" s="4">
        <v>120</v>
      </c>
      <c r="D8" s="29">
        <v>500</v>
      </c>
      <c r="E8" s="12">
        <v>0</v>
      </c>
      <c r="F8" s="29">
        <f t="shared" si="0"/>
        <v>60000</v>
      </c>
      <c r="G8" s="10">
        <f t="shared" si="1"/>
        <v>60000</v>
      </c>
      <c r="H8" s="10">
        <f>G8/'Desglose Proyecto'!F2</f>
        <v>3436.4261168384878</v>
      </c>
      <c r="I8" s="5"/>
    </row>
    <row r="9" spans="1:9" ht="12.75" x14ac:dyDescent="0.2">
      <c r="A9" s="3">
        <v>7</v>
      </c>
      <c r="B9" s="39" t="s">
        <v>19</v>
      </c>
      <c r="C9" s="4">
        <v>15</v>
      </c>
      <c r="D9" s="29">
        <v>2034.933</v>
      </c>
      <c r="E9" s="13">
        <v>0</v>
      </c>
      <c r="F9" s="29">
        <f t="shared" si="0"/>
        <v>30523.994999999999</v>
      </c>
      <c r="G9" s="10">
        <f t="shared" si="1"/>
        <v>30523.994999999999</v>
      </c>
      <c r="H9" s="10">
        <f>G9/'Desglose Proyecto'!F2</f>
        <v>1748.2242268041236</v>
      </c>
      <c r="I9" s="5" t="s">
        <v>18</v>
      </c>
    </row>
    <row r="10" spans="1:9" ht="12.75" x14ac:dyDescent="0.2">
      <c r="A10" s="3">
        <v>8</v>
      </c>
      <c r="B10" s="39" t="s">
        <v>20</v>
      </c>
      <c r="C10" s="9">
        <v>15</v>
      </c>
      <c r="D10" s="10">
        <v>1939.4</v>
      </c>
      <c r="E10" s="13">
        <v>0</v>
      </c>
      <c r="F10" s="29">
        <f t="shared" si="0"/>
        <v>29091</v>
      </c>
      <c r="G10" s="10">
        <f t="shared" si="1"/>
        <v>29091</v>
      </c>
      <c r="H10" s="10">
        <f>G10/'Desglose Proyecto'!F2</f>
        <v>1666.1512027491408</v>
      </c>
      <c r="I10" s="5" t="s">
        <v>18</v>
      </c>
    </row>
    <row r="11" spans="1:9" ht="12.75" x14ac:dyDescent="0.2">
      <c r="A11" s="3">
        <v>9</v>
      </c>
      <c r="B11" s="39" t="s">
        <v>21</v>
      </c>
      <c r="C11" s="9">
        <v>15</v>
      </c>
      <c r="D11" s="10">
        <v>1945.93</v>
      </c>
      <c r="E11" s="13">
        <v>0</v>
      </c>
      <c r="F11" s="29">
        <f t="shared" si="0"/>
        <v>29188.95</v>
      </c>
      <c r="G11" s="10">
        <f t="shared" si="1"/>
        <v>29188.95</v>
      </c>
      <c r="H11" s="10">
        <f>G11/'Desglose Proyecto'!F2</f>
        <v>1671.7611683848797</v>
      </c>
      <c r="I11" s="5" t="s">
        <v>18</v>
      </c>
    </row>
    <row r="12" spans="1:9" ht="12.75" x14ac:dyDescent="0.2">
      <c r="A12" s="3">
        <v>10</v>
      </c>
      <c r="B12" s="39" t="s">
        <v>22</v>
      </c>
      <c r="C12" s="9">
        <v>15</v>
      </c>
      <c r="D12" s="10">
        <v>2141.3330000000001</v>
      </c>
      <c r="E12" s="13">
        <v>0</v>
      </c>
      <c r="F12" s="29">
        <f t="shared" si="0"/>
        <v>32119.995000000003</v>
      </c>
      <c r="G12" s="10">
        <f t="shared" si="1"/>
        <v>32119.995000000003</v>
      </c>
      <c r="H12" s="10">
        <f>G12/'Desglose Proyecto'!F2</f>
        <v>1839.6331615120275</v>
      </c>
      <c r="I12" s="5" t="s">
        <v>18</v>
      </c>
    </row>
    <row r="13" spans="1:9" ht="12.75" x14ac:dyDescent="0.2">
      <c r="A13" s="3">
        <v>11</v>
      </c>
      <c r="B13" s="39" t="s">
        <v>34</v>
      </c>
      <c r="C13" s="9">
        <v>4</v>
      </c>
      <c r="D13" s="10">
        <v>21834.65</v>
      </c>
      <c r="E13" s="13">
        <v>0</v>
      </c>
      <c r="F13" s="29">
        <f t="shared" si="0"/>
        <v>87338.6</v>
      </c>
      <c r="G13" s="10">
        <f t="shared" si="1"/>
        <v>87338.6</v>
      </c>
      <c r="H13" s="10">
        <f>G13/'Desglose Proyecto'!F2</f>
        <v>5002.2107674684994</v>
      </c>
      <c r="I13" s="5" t="s">
        <v>23</v>
      </c>
    </row>
    <row r="14" spans="1:9" ht="12.75" x14ac:dyDescent="0.2">
      <c r="A14" s="3">
        <v>12</v>
      </c>
      <c r="B14" s="39" t="s">
        <v>24</v>
      </c>
      <c r="C14" s="4">
        <v>1</v>
      </c>
      <c r="D14" s="10">
        <f>1312.51*2</f>
        <v>2625.02</v>
      </c>
      <c r="E14" s="13">
        <v>0</v>
      </c>
      <c r="F14" s="29">
        <f t="shared" si="0"/>
        <v>2625.02</v>
      </c>
      <c r="G14" s="29">
        <f t="shared" si="1"/>
        <v>2625.02</v>
      </c>
      <c r="H14" s="10">
        <f>G14/'Desglose Proyecto'!F2</f>
        <v>150.34478808705612</v>
      </c>
      <c r="I14" s="5" t="s">
        <v>32</v>
      </c>
    </row>
    <row r="15" spans="1:9" ht="12.75" x14ac:dyDescent="0.2">
      <c r="A15" s="3">
        <v>13</v>
      </c>
      <c r="B15" s="39" t="s">
        <v>25</v>
      </c>
      <c r="C15" s="4">
        <v>1</v>
      </c>
      <c r="D15" s="29">
        <f>2*826.18</f>
        <v>1652.36</v>
      </c>
      <c r="E15" s="13">
        <v>0</v>
      </c>
      <c r="F15" s="29">
        <f t="shared" si="0"/>
        <v>1652.36</v>
      </c>
      <c r="G15" s="29">
        <f t="shared" si="1"/>
        <v>1652.36</v>
      </c>
      <c r="H15" s="10">
        <f>G15/'Desglose Proyecto'!F2</f>
        <v>94.636884306987383</v>
      </c>
      <c r="I15" s="5" t="s">
        <v>31</v>
      </c>
    </row>
    <row r="16" spans="1:9" ht="12.75" x14ac:dyDescent="0.2">
      <c r="A16" s="3">
        <v>14</v>
      </c>
      <c r="B16" s="39" t="s">
        <v>26</v>
      </c>
      <c r="C16" s="4">
        <v>1</v>
      </c>
      <c r="D16" s="10">
        <f>294.35 * 2</f>
        <v>588.70000000000005</v>
      </c>
      <c r="E16" s="13">
        <v>0</v>
      </c>
      <c r="F16" s="29">
        <f t="shared" si="0"/>
        <v>588.70000000000005</v>
      </c>
      <c r="G16" s="29">
        <f t="shared" si="1"/>
        <v>588.70000000000005</v>
      </c>
      <c r="H16" s="10">
        <f>G16/'Desglose Proyecto'!F2</f>
        <v>33.717067583046962</v>
      </c>
      <c r="I16" s="5" t="s">
        <v>29</v>
      </c>
    </row>
    <row r="17" spans="1:9" ht="12.75" x14ac:dyDescent="0.2">
      <c r="A17" s="3">
        <v>15</v>
      </c>
      <c r="B17" s="39" t="s">
        <v>27</v>
      </c>
      <c r="C17" s="4">
        <v>1</v>
      </c>
      <c r="D17" s="10">
        <f>464.99*2</f>
        <v>929.98</v>
      </c>
      <c r="E17" s="13">
        <v>0</v>
      </c>
      <c r="F17" s="29">
        <f t="shared" si="0"/>
        <v>929.98</v>
      </c>
      <c r="G17" s="29">
        <f t="shared" si="1"/>
        <v>929.98</v>
      </c>
      <c r="H17" s="10">
        <f>G17/'Desglose Proyecto'!F2</f>
        <v>53.263459335624283</v>
      </c>
      <c r="I17" s="5" t="s">
        <v>30</v>
      </c>
    </row>
    <row r="18" spans="1:9" ht="12.75" x14ac:dyDescent="0.2">
      <c r="A18" s="3">
        <v>16</v>
      </c>
      <c r="B18" s="39" t="s">
        <v>28</v>
      </c>
      <c r="C18" s="9">
        <v>4</v>
      </c>
      <c r="D18" s="10">
        <v>15000</v>
      </c>
      <c r="E18" s="13">
        <v>0</v>
      </c>
      <c r="F18" s="29">
        <f t="shared" si="0"/>
        <v>60000</v>
      </c>
      <c r="G18" s="10">
        <f t="shared" si="1"/>
        <v>60000</v>
      </c>
      <c r="H18" s="10">
        <f>G18/'Desglose Proyecto'!F2</f>
        <v>3436.4261168384878</v>
      </c>
      <c r="I18" s="5"/>
    </row>
    <row r="19" spans="1:9" ht="13.5" customHeight="1" x14ac:dyDescent="0.2">
      <c r="A19" s="3">
        <v>17</v>
      </c>
      <c r="B19" s="39" t="s">
        <v>33</v>
      </c>
      <c r="C19" s="9">
        <v>4</v>
      </c>
      <c r="D19" s="10">
        <v>30000</v>
      </c>
      <c r="E19" s="13">
        <v>0</v>
      </c>
      <c r="F19" s="29">
        <f t="shared" si="0"/>
        <v>120000</v>
      </c>
      <c r="G19" s="10">
        <f t="shared" si="1"/>
        <v>120000</v>
      </c>
      <c r="H19" s="10">
        <f>G19/'Desglose Proyecto'!F2</f>
        <v>6872.8522336769756</v>
      </c>
      <c r="I19" s="5"/>
    </row>
    <row r="20" spans="1:9" ht="13.5" customHeight="1" x14ac:dyDescent="0.2">
      <c r="A20" s="3"/>
      <c r="B20" s="57"/>
      <c r="C20" s="4"/>
      <c r="D20" s="29"/>
      <c r="E20" s="13"/>
      <c r="F20" s="29">
        <f>SUM(Tabla1[SUBTOTAL])</f>
        <v>746246</v>
      </c>
      <c r="G20" s="81">
        <f>SUBTOTAL(109,Tabla1[TOTAL])</f>
        <v>746246</v>
      </c>
      <c r="H20" s="29">
        <f>SUM(Tabla1[Dolares])</f>
        <v>42740.320733104229</v>
      </c>
      <c r="I20" s="5"/>
    </row>
    <row r="21" spans="1:9" ht="12.75" x14ac:dyDescent="0.2"/>
    <row r="22" spans="1:9" ht="12.75" x14ac:dyDescent="0.2"/>
    <row r="23" spans="1:9" ht="12.75" x14ac:dyDescent="0.2"/>
    <row r="24" spans="1:9" ht="12.75" x14ac:dyDescent="0.2"/>
    <row r="25" spans="1:9" ht="12.75" x14ac:dyDescent="0.2"/>
    <row r="26" spans="1:9" ht="12.75" x14ac:dyDescent="0.2"/>
    <row r="27" spans="1:9" ht="12.75" customHeight="1" x14ac:dyDescent="0.2"/>
    <row r="31" spans="1:9" ht="12.75" x14ac:dyDescent="0.2"/>
    <row r="36" spans="6:6" ht="12.75" x14ac:dyDescent="0.2"/>
    <row r="37" spans="6:6" ht="12.75" customHeight="1" x14ac:dyDescent="0.2"/>
    <row r="38" spans="6:6" ht="12.75" customHeight="1" x14ac:dyDescent="0.2"/>
    <row r="39" spans="6:6" ht="12.75" customHeight="1" x14ac:dyDescent="0.2"/>
    <row r="47" spans="6:6" ht="15.75" customHeight="1" x14ac:dyDescent="0.2">
      <c r="F47" s="2"/>
    </row>
    <row r="51" spans="5:10" ht="15.75" customHeight="1" x14ac:dyDescent="0.2">
      <c r="E51" s="21"/>
      <c r="F51" s="21"/>
      <c r="G51" s="21"/>
      <c r="H51" s="21"/>
      <c r="I51" s="21"/>
      <c r="J51" s="21"/>
    </row>
    <row r="52" spans="5:10" ht="15.75" customHeight="1" x14ac:dyDescent="0.2">
      <c r="E52" s="21"/>
      <c r="F52" s="21"/>
      <c r="G52" s="21"/>
      <c r="H52" s="21"/>
      <c r="I52" s="21"/>
      <c r="J52" s="21"/>
    </row>
    <row r="53" spans="5:10" ht="15.75" customHeight="1" x14ac:dyDescent="0.2">
      <c r="E53" s="21"/>
      <c r="F53" s="21"/>
      <c r="G53" s="21"/>
      <c r="H53" s="21"/>
      <c r="I53" s="21"/>
      <c r="J53" s="21"/>
    </row>
    <row r="54" spans="5:10" ht="15.75" customHeight="1" x14ac:dyDescent="0.2">
      <c r="E54" s="21"/>
      <c r="F54" s="21"/>
      <c r="G54" s="21"/>
      <c r="H54" s="21"/>
      <c r="I54" s="21"/>
      <c r="J54" s="21"/>
    </row>
    <row r="55" spans="5:10" ht="15.75" customHeight="1" x14ac:dyDescent="0.2">
      <c r="E55" s="21"/>
      <c r="F55" s="21"/>
      <c r="G55" s="21"/>
      <c r="H55" s="21"/>
      <c r="I55" s="21"/>
      <c r="J55" s="21"/>
    </row>
  </sheetData>
  <mergeCells count="1">
    <mergeCell ref="A1:I1"/>
  </mergeCells>
  <hyperlinks>
    <hyperlink ref="I3" r:id="rId1" xr:uid="{2421FD61-C521-45B2-8DF5-B7B485BF9E38}"/>
    <hyperlink ref="I4" r:id="rId2" xr:uid="{D9DB3FEB-3A05-490A-A601-E4659876CB25}"/>
    <hyperlink ref="I6" r:id="rId3" xr:uid="{D18119C8-5FA6-4F43-8CD8-2A77CC41275D}"/>
    <hyperlink ref="I10" r:id="rId4" xr:uid="{9BE40A90-D202-4C44-8466-BCB4BDBFE904}"/>
    <hyperlink ref="I12" r:id="rId5" xr:uid="{A7BF6B39-7EEC-4D0C-A1BF-9776AEF5C3D7}"/>
    <hyperlink ref="I9" r:id="rId6" xr:uid="{9B74B351-3DA7-4DEA-A4D6-66E406BFB56F}"/>
    <hyperlink ref="I7" r:id="rId7" location="position=5&amp;search_layout=grid&amp;type=item&amp;tracking_id=d26aa09f-a4f7-44a7-b455-ec3998c093b6" xr:uid="{4865831C-F97A-455F-9B3E-7D7A9C269B34}"/>
  </hyperlinks>
  <pageMargins left="0.7" right="0.7" top="0.75" bottom="0.75" header="0.3" footer="0.3"/>
  <pageSetup orientation="portrait" r:id="rId8"/>
  <ignoredErrors>
    <ignoredError sqref="H3:H5" calculatedColumn="1"/>
  </ignoredErrors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C39-66EA-4A17-8ADF-0AEB6775E1C4}">
  <dimension ref="A1:M26"/>
  <sheetViews>
    <sheetView tabSelected="1" zoomScale="90" zoomScaleNormal="90" workbookViewId="0">
      <selection activeCell="C24" sqref="C24"/>
    </sheetView>
  </sheetViews>
  <sheetFormatPr baseColWidth="10" defaultRowHeight="12.75" x14ac:dyDescent="0.2"/>
  <cols>
    <col min="1" max="1" width="31.140625" bestFit="1" customWidth="1"/>
    <col min="2" max="2" width="28.42578125" customWidth="1"/>
    <col min="3" max="3" width="26.140625" bestFit="1" customWidth="1"/>
    <col min="4" max="4" width="12.140625" bestFit="1" customWidth="1"/>
    <col min="5" max="5" width="15.28515625" customWidth="1"/>
    <col min="6" max="6" width="15.140625" bestFit="1" customWidth="1"/>
    <col min="7" max="7" width="16" bestFit="1" customWidth="1"/>
    <col min="8" max="8" width="18" bestFit="1" customWidth="1"/>
    <col min="9" max="9" width="21" bestFit="1" customWidth="1"/>
    <col min="10" max="11" width="13.28515625" bestFit="1" customWidth="1"/>
  </cols>
  <sheetData>
    <row r="1" spans="1:13" ht="16.5" thickTop="1" thickBot="1" x14ac:dyDescent="0.3">
      <c r="A1" s="64" t="s">
        <v>101</v>
      </c>
      <c r="B1" s="64"/>
      <c r="C1" s="64"/>
      <c r="F1" s="64" t="s">
        <v>67</v>
      </c>
      <c r="G1" s="64"/>
      <c r="H1" s="64"/>
      <c r="I1" s="64"/>
      <c r="J1" s="64"/>
      <c r="K1" s="64"/>
    </row>
    <row r="2" spans="1:13" ht="13.5" thickTop="1" x14ac:dyDescent="0.2">
      <c r="A2" s="45" t="s">
        <v>79</v>
      </c>
      <c r="B2" s="45" t="s">
        <v>40</v>
      </c>
      <c r="C2" s="45" t="s">
        <v>38</v>
      </c>
      <c r="F2" s="45" t="s">
        <v>80</v>
      </c>
      <c r="G2" s="45" t="s">
        <v>78</v>
      </c>
      <c r="H2" s="45" t="s">
        <v>76</v>
      </c>
      <c r="I2" s="45" t="s">
        <v>81</v>
      </c>
      <c r="J2" s="45" t="s">
        <v>77</v>
      </c>
      <c r="K2" s="45" t="s">
        <v>82</v>
      </c>
    </row>
    <row r="3" spans="1:13" x14ac:dyDescent="0.2">
      <c r="A3" s="46" t="s">
        <v>65</v>
      </c>
      <c r="B3" s="47">
        <f>SUM(Cotización!G8:G19)</f>
        <v>454058.60000000003</v>
      </c>
      <c r="C3" s="47">
        <f>SUM(Cotización!H8:H19)</f>
        <v>26005.647193585337</v>
      </c>
      <c r="F3" s="46" t="s">
        <v>86</v>
      </c>
      <c r="G3" s="46">
        <v>3</v>
      </c>
      <c r="H3" s="47">
        <v>30000</v>
      </c>
      <c r="I3" s="47">
        <f>H3*G3</f>
        <v>90000</v>
      </c>
      <c r="J3" s="47">
        <f>H3*1.33</f>
        <v>39900</v>
      </c>
      <c r="K3" s="47">
        <f>J3*G3</f>
        <v>119700</v>
      </c>
    </row>
    <row r="4" spans="1:13" x14ac:dyDescent="0.2">
      <c r="A4" s="48" t="s">
        <v>66</v>
      </c>
      <c r="B4" s="49">
        <f>SUM(Cotización!G3:G7)</f>
        <v>292187.40000000002</v>
      </c>
      <c r="C4" s="49">
        <f>SUM(Cotización!H3:H7)</f>
        <v>16734.673539518895</v>
      </c>
      <c r="F4" s="48" t="s">
        <v>68</v>
      </c>
      <c r="G4" s="48">
        <v>3</v>
      </c>
      <c r="H4" s="49">
        <v>20000</v>
      </c>
      <c r="I4" s="49">
        <f>H4*G4</f>
        <v>60000</v>
      </c>
      <c r="J4" s="49">
        <f t="shared" ref="J4" si="0">H4*1.33</f>
        <v>26600</v>
      </c>
      <c r="K4" s="49">
        <f>J4*G4</f>
        <v>79800</v>
      </c>
    </row>
    <row r="5" spans="1:13" x14ac:dyDescent="0.2">
      <c r="A5" s="46" t="s">
        <v>70</v>
      </c>
      <c r="B5" s="47">
        <f>K6</f>
        <v>658350</v>
      </c>
      <c r="C5" s="47">
        <f>B5/'Desglose Proyecto'!F2</f>
        <v>37706.18556701031</v>
      </c>
      <c r="E5" s="2"/>
      <c r="F5" s="46" t="s">
        <v>69</v>
      </c>
      <c r="G5" s="46">
        <v>23</v>
      </c>
      <c r="H5" s="47">
        <v>15000</v>
      </c>
      <c r="I5" s="47">
        <f>H5*G5</f>
        <v>345000</v>
      </c>
      <c r="J5" s="47">
        <f>H5*1.33</f>
        <v>19950</v>
      </c>
      <c r="K5" s="47">
        <f>J5*G5</f>
        <v>458850</v>
      </c>
    </row>
    <row r="6" spans="1:13" x14ac:dyDescent="0.2">
      <c r="A6" s="50" t="s">
        <v>105</v>
      </c>
      <c r="B6" s="51">
        <v>180000</v>
      </c>
      <c r="C6" s="51">
        <f>B6/'Desglose Proyecto'!F2</f>
        <v>10309.278350515464</v>
      </c>
      <c r="D6" s="2"/>
      <c r="F6" s="48" t="s">
        <v>44</v>
      </c>
      <c r="G6" s="48"/>
      <c r="H6" s="49">
        <f>SUM(H3:H5)</f>
        <v>65000</v>
      </c>
      <c r="I6" s="49">
        <f>SUM(I3:I5)</f>
        <v>495000</v>
      </c>
      <c r="J6" s="49">
        <f>SUM(J3:J5)</f>
        <v>86450</v>
      </c>
      <c r="K6" s="49">
        <f>SUM(K3:K5)</f>
        <v>658350</v>
      </c>
    </row>
    <row r="7" spans="1:13" ht="13.5" thickBot="1" x14ac:dyDescent="0.25">
      <c r="A7" s="48" t="s">
        <v>44</v>
      </c>
      <c r="B7" s="49">
        <f>SUM(B3:B6)</f>
        <v>1584596</v>
      </c>
      <c r="C7" s="49">
        <f>SUM(C3:C6)</f>
        <v>90755.784650630012</v>
      </c>
      <c r="H7" s="40"/>
      <c r="I7" s="40"/>
      <c r="J7" s="40"/>
      <c r="K7" s="40"/>
    </row>
    <row r="8" spans="1:13" ht="16.5" thickTop="1" thickBot="1" x14ac:dyDescent="0.3">
      <c r="A8" s="50" t="s">
        <v>83</v>
      </c>
      <c r="B8" s="51">
        <f>B7*1.13</f>
        <v>1790593.4799999997</v>
      </c>
      <c r="C8" s="51">
        <f>B8/'Desglose Proyecto'!F2</f>
        <v>102554.03665521189</v>
      </c>
      <c r="F8" s="65" t="s">
        <v>84</v>
      </c>
      <c r="G8" s="66"/>
      <c r="H8" s="67"/>
    </row>
    <row r="9" spans="1:13" ht="13.5" thickTop="1" x14ac:dyDescent="0.2">
      <c r="B9" s="40"/>
      <c r="C9" s="40"/>
      <c r="D9" s="40"/>
      <c r="F9" s="43" t="s">
        <v>98</v>
      </c>
      <c r="G9" s="43" t="s">
        <v>100</v>
      </c>
      <c r="H9" s="43" t="s">
        <v>99</v>
      </c>
    </row>
    <row r="10" spans="1:13" ht="13.5" thickBot="1" x14ac:dyDescent="0.25">
      <c r="B10" s="40"/>
      <c r="C10" s="40"/>
      <c r="D10" s="40"/>
      <c r="F10" s="54" t="s">
        <v>85</v>
      </c>
      <c r="G10" s="53">
        <f>D13*H10</f>
        <v>47537.88</v>
      </c>
      <c r="H10" s="52">
        <v>0.6</v>
      </c>
      <c r="M10" s="40"/>
    </row>
    <row r="11" spans="1:13" ht="16.5" thickTop="1" thickBot="1" x14ac:dyDescent="0.3">
      <c r="A11" s="64" t="s">
        <v>102</v>
      </c>
      <c r="B11" s="64"/>
      <c r="C11" s="64"/>
      <c r="D11" s="64"/>
      <c r="F11" s="55" t="s">
        <v>93</v>
      </c>
      <c r="G11" s="53">
        <f>D13*H11</f>
        <v>31691.920000000002</v>
      </c>
      <c r="H11" s="52">
        <v>0.4</v>
      </c>
      <c r="K11" s="43"/>
    </row>
    <row r="12" spans="1:13" ht="13.5" thickTop="1" x14ac:dyDescent="0.2">
      <c r="A12" t="s">
        <v>72</v>
      </c>
      <c r="B12" t="s">
        <v>75</v>
      </c>
      <c r="C12" s="40" t="s">
        <v>73</v>
      </c>
      <c r="D12" t="s">
        <v>74</v>
      </c>
      <c r="F12" s="55" t="s">
        <v>44</v>
      </c>
      <c r="G12" s="53">
        <f ca="1">SUM(G10:G12)</f>
        <v>79229.8</v>
      </c>
      <c r="H12" s="52">
        <f>SUM(H10:H11)</f>
        <v>1</v>
      </c>
    </row>
    <row r="13" spans="1:13" x14ac:dyDescent="0.2">
      <c r="A13" s="52">
        <v>0.08</v>
      </c>
      <c r="B13" s="52">
        <v>0.05</v>
      </c>
      <c r="C13" s="53">
        <f>B7*A13</f>
        <v>126767.68000000001</v>
      </c>
      <c r="D13" s="53">
        <f>B7*B13</f>
        <v>79229.8</v>
      </c>
    </row>
    <row r="14" spans="1:13" ht="13.5" thickBot="1" x14ac:dyDescent="0.25">
      <c r="B14" s="40"/>
      <c r="D14" s="40"/>
    </row>
    <row r="15" spans="1:13" ht="16.5" thickTop="1" thickBot="1" x14ac:dyDescent="0.3">
      <c r="D15" s="40"/>
      <c r="F15" s="65" t="s">
        <v>85</v>
      </c>
      <c r="G15" s="66"/>
      <c r="H15" s="66"/>
      <c r="I15" s="66"/>
      <c r="J15" s="67"/>
      <c r="K15" s="40"/>
    </row>
    <row r="16" spans="1:13" ht="16.5" thickTop="1" thickBot="1" x14ac:dyDescent="0.3">
      <c r="A16" s="64" t="s">
        <v>103</v>
      </c>
      <c r="B16" s="64"/>
      <c r="F16" s="43" t="s">
        <v>79</v>
      </c>
      <c r="G16" s="44" t="s">
        <v>89</v>
      </c>
      <c r="H16" s="44" t="s">
        <v>90</v>
      </c>
      <c r="I16" s="44" t="s">
        <v>88</v>
      </c>
      <c r="J16" s="40" t="s">
        <v>87</v>
      </c>
    </row>
    <row r="17" spans="1:10" ht="13.5" thickTop="1" x14ac:dyDescent="0.2">
      <c r="A17" t="s">
        <v>71</v>
      </c>
      <c r="B17" s="43" t="s">
        <v>104</v>
      </c>
      <c r="F17" s="55" t="s">
        <v>92</v>
      </c>
      <c r="G17" s="53">
        <f>D13*0.15</f>
        <v>11884.47</v>
      </c>
      <c r="H17" s="53">
        <f>D13*0.1</f>
        <v>7922.9800000000005</v>
      </c>
      <c r="I17" s="53">
        <f>D13*0.05</f>
        <v>3961.4900000000002</v>
      </c>
      <c r="J17" s="53">
        <f>(G17*1)+(H17*1)+(I17*7)</f>
        <v>47537.880000000005</v>
      </c>
    </row>
    <row r="18" spans="1:10" x14ac:dyDescent="0.2">
      <c r="A18" s="54">
        <v>12</v>
      </c>
      <c r="B18" s="53">
        <f>C13*A18</f>
        <v>1521212.1600000001</v>
      </c>
      <c r="F18" s="55" t="s">
        <v>91</v>
      </c>
      <c r="G18" s="53">
        <f>G17*1</f>
        <v>11884.47</v>
      </c>
      <c r="H18" s="53">
        <f>H17*1</f>
        <v>7922.9800000000005</v>
      </c>
      <c r="I18" s="56">
        <f>I17*7</f>
        <v>27730.43</v>
      </c>
      <c r="J18" s="53">
        <f>SUM(G18:I18)</f>
        <v>47537.880000000005</v>
      </c>
    </row>
    <row r="20" spans="1:10" ht="13.5" thickBot="1" x14ac:dyDescent="0.25">
      <c r="A20" s="42" t="s">
        <v>107</v>
      </c>
      <c r="B20" t="s">
        <v>40</v>
      </c>
      <c r="C20" t="s">
        <v>43</v>
      </c>
    </row>
    <row r="21" spans="1:10" ht="16.5" thickTop="1" thickBot="1" x14ac:dyDescent="0.3">
      <c r="A21" t="s">
        <v>106</v>
      </c>
      <c r="B21" s="40">
        <f>B8</f>
        <v>1790593.4799999997</v>
      </c>
      <c r="C21" s="40">
        <f>C8</f>
        <v>102554.03665521189</v>
      </c>
      <c r="F21" s="65" t="s">
        <v>93</v>
      </c>
      <c r="G21" s="66"/>
      <c r="H21" s="66"/>
      <c r="I21" s="66"/>
      <c r="J21" s="67"/>
    </row>
    <row r="22" spans="1:10" ht="13.5" thickTop="1" x14ac:dyDescent="0.2">
      <c r="A22" t="s">
        <v>108</v>
      </c>
      <c r="B22" s="40">
        <f>B8*1.05</f>
        <v>1880123.1539999999</v>
      </c>
      <c r="C22" s="40">
        <f>C8*1.05</f>
        <v>107681.7384879725</v>
      </c>
      <c r="F22" s="43" t="s">
        <v>79</v>
      </c>
      <c r="G22" s="44" t="s">
        <v>97</v>
      </c>
      <c r="H22" s="44" t="s">
        <v>95</v>
      </c>
      <c r="I22" s="44" t="s">
        <v>96</v>
      </c>
      <c r="J22" s="44" t="s">
        <v>94</v>
      </c>
    </row>
    <row r="23" spans="1:10" x14ac:dyDescent="0.2">
      <c r="C23" s="41"/>
      <c r="D23" s="41"/>
      <c r="F23" s="55" t="s">
        <v>92</v>
      </c>
      <c r="G23" s="53">
        <f>D13*0.035</f>
        <v>2773.0430000000006</v>
      </c>
      <c r="H23" s="53">
        <f>D13*0.025</f>
        <v>1980.7450000000001</v>
      </c>
      <c r="I23" s="56">
        <f>D13*0.0175</f>
        <v>1386.5215000000003</v>
      </c>
      <c r="J23" s="53">
        <f>(G23*2)+(H23*2)+(I23*16)</f>
        <v>31691.920000000006</v>
      </c>
    </row>
    <row r="24" spans="1:10" x14ac:dyDescent="0.2">
      <c r="F24" s="55" t="s">
        <v>91</v>
      </c>
      <c r="G24" s="53">
        <f>G23*2</f>
        <v>5546.0860000000011</v>
      </c>
      <c r="H24" s="53">
        <f>H23*2</f>
        <v>3961.4900000000002</v>
      </c>
      <c r="I24" s="56">
        <f>I23*16</f>
        <v>22184.344000000005</v>
      </c>
      <c r="J24" s="53">
        <f>SUM(G24:I24)</f>
        <v>31691.920000000006</v>
      </c>
    </row>
    <row r="25" spans="1:10" x14ac:dyDescent="0.2">
      <c r="A25" s="40"/>
      <c r="B25" s="40"/>
      <c r="C25" s="40"/>
      <c r="D25" s="40"/>
      <c r="E25" s="40"/>
    </row>
    <row r="26" spans="1:10" x14ac:dyDescent="0.2">
      <c r="E26" s="40"/>
    </row>
  </sheetData>
  <mergeCells count="7">
    <mergeCell ref="F1:K1"/>
    <mergeCell ref="F8:H8"/>
    <mergeCell ref="F15:J15"/>
    <mergeCell ref="F21:J21"/>
    <mergeCell ref="A1:C1"/>
    <mergeCell ref="A11:D11"/>
    <mergeCell ref="A16:B16"/>
  </mergeCells>
  <pageMargins left="0.7" right="0.7" top="0.75" bottom="0.75" header="0.3" footer="0.3"/>
  <pageSetup orientation="portrait" horizontalDpi="300" verticalDpi="30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5CF6-1881-4FFE-91A5-A2EC9A454F01}">
  <dimension ref="A1:J32"/>
  <sheetViews>
    <sheetView topLeftCell="A10" zoomScaleNormal="100" workbookViewId="0">
      <selection activeCell="E7" sqref="E7:J20"/>
    </sheetView>
  </sheetViews>
  <sheetFormatPr baseColWidth="10" defaultRowHeight="12.75" x14ac:dyDescent="0.2"/>
  <cols>
    <col min="1" max="1" width="47.42578125" bestFit="1" customWidth="1"/>
    <col min="2" max="2" width="15.5703125" bestFit="1" customWidth="1"/>
    <col min="3" max="3" width="13.85546875" bestFit="1" customWidth="1"/>
    <col min="4" max="4" width="12.28515625" bestFit="1" customWidth="1"/>
    <col min="5" max="5" width="16.5703125" bestFit="1" customWidth="1"/>
    <col min="8" max="8" width="19.5703125" bestFit="1" customWidth="1"/>
    <col min="10" max="10" width="22.140625" customWidth="1"/>
  </cols>
  <sheetData>
    <row r="1" spans="1:10" ht="16.5" thickTop="1" thickBot="1" x14ac:dyDescent="0.25">
      <c r="A1" s="74" t="s">
        <v>50</v>
      </c>
      <c r="B1" s="74"/>
      <c r="C1" s="74"/>
      <c r="D1" s="8"/>
      <c r="E1" s="73">
        <v>45061</v>
      </c>
      <c r="F1" s="73"/>
      <c r="G1" s="8"/>
      <c r="H1" s="24" t="s">
        <v>56</v>
      </c>
      <c r="I1" s="5"/>
    </row>
    <row r="2" spans="1:10" ht="16.5" thickTop="1" thickBot="1" x14ac:dyDescent="0.3">
      <c r="A2" s="18"/>
      <c r="B2" s="7" t="s">
        <v>40</v>
      </c>
      <c r="C2" s="19" t="s">
        <v>38</v>
      </c>
      <c r="D2" s="8"/>
      <c r="E2" s="14" t="s">
        <v>39</v>
      </c>
      <c r="F2" s="27">
        <v>17.46</v>
      </c>
      <c r="G2" s="8"/>
      <c r="H2" s="23" t="s">
        <v>58</v>
      </c>
      <c r="I2" s="5"/>
    </row>
    <row r="3" spans="1:10" ht="16.5" thickTop="1" thickBot="1" x14ac:dyDescent="0.3">
      <c r="A3" s="7" t="s">
        <v>44</v>
      </c>
      <c r="B3" s="25">
        <f>Ganancias!B8</f>
        <v>1790593.4799999997</v>
      </c>
      <c r="C3" s="26">
        <f>Ganancias!C8</f>
        <v>102554.03665521189</v>
      </c>
      <c r="D3" s="8"/>
      <c r="E3" s="14" t="s">
        <v>41</v>
      </c>
      <c r="F3" s="17" t="s">
        <v>42</v>
      </c>
      <c r="G3" s="8"/>
      <c r="H3" s="23" t="s">
        <v>57</v>
      </c>
      <c r="I3" s="5"/>
    </row>
    <row r="4" spans="1:10" ht="16.5" thickTop="1" thickBot="1" x14ac:dyDescent="0.3">
      <c r="C4" s="9"/>
      <c r="D4" s="10"/>
      <c r="E4" s="10"/>
      <c r="H4" s="34" t="s">
        <v>63</v>
      </c>
    </row>
    <row r="5" spans="1:10" ht="14.25" thickTop="1" thickBot="1" x14ac:dyDescent="0.25">
      <c r="C5" s="9"/>
      <c r="D5" s="10"/>
      <c r="E5" s="10"/>
    </row>
    <row r="6" spans="1:10" ht="16.5" thickTop="1" thickBot="1" x14ac:dyDescent="0.3">
      <c r="A6" s="77" t="s">
        <v>53</v>
      </c>
      <c r="B6" s="78"/>
      <c r="C6" s="79"/>
      <c r="E6" s="71" t="s">
        <v>55</v>
      </c>
      <c r="F6" s="72"/>
      <c r="G6" s="72"/>
      <c r="H6" s="72"/>
      <c r="I6" s="72"/>
      <c r="J6" s="72"/>
    </row>
    <row r="7" spans="1:10" ht="16.5" thickTop="1" thickBot="1" x14ac:dyDescent="0.3">
      <c r="A7" s="31"/>
      <c r="B7" s="14" t="s">
        <v>40</v>
      </c>
      <c r="C7" s="14" t="s">
        <v>43</v>
      </c>
      <c r="E7" s="82" t="s">
        <v>60</v>
      </c>
      <c r="F7" s="70"/>
      <c r="G7" s="70"/>
      <c r="H7" s="70"/>
      <c r="I7" s="70"/>
      <c r="J7" s="70"/>
    </row>
    <row r="8" spans="1:10" ht="17.25" thickTop="1" x14ac:dyDescent="0.35">
      <c r="A8" s="20" t="s">
        <v>59</v>
      </c>
      <c r="B8" s="16">
        <f>B3*1.25</f>
        <v>2238241.8499999996</v>
      </c>
      <c r="C8" s="30">
        <f>B8/F2</f>
        <v>128192.54581901486</v>
      </c>
      <c r="E8" s="70"/>
      <c r="F8" s="70"/>
      <c r="G8" s="70"/>
      <c r="H8" s="70"/>
      <c r="I8" s="70"/>
      <c r="J8" s="70"/>
    </row>
    <row r="9" spans="1:10" ht="15" x14ac:dyDescent="0.25">
      <c r="A9" s="14" t="s">
        <v>35</v>
      </c>
      <c r="B9" s="16">
        <f>B8*2*1.25</f>
        <v>5595604.6249999991</v>
      </c>
      <c r="C9" s="16">
        <f>B9/F2</f>
        <v>320481.36454753717</v>
      </c>
      <c r="E9" s="70"/>
      <c r="F9" s="70"/>
      <c r="G9" s="70"/>
      <c r="H9" s="70"/>
      <c r="I9" s="70"/>
      <c r="J9" s="70"/>
    </row>
    <row r="10" spans="1:10" ht="15" x14ac:dyDescent="0.25">
      <c r="A10" s="14" t="s">
        <v>36</v>
      </c>
      <c r="B10" s="16">
        <f>B9-B8</f>
        <v>3357362.7749999994</v>
      </c>
      <c r="C10" s="16">
        <f>B10/F2</f>
        <v>192288.81872852228</v>
      </c>
      <c r="E10" s="70"/>
      <c r="F10" s="70"/>
      <c r="G10" s="70"/>
      <c r="H10" s="70"/>
      <c r="I10" s="70"/>
      <c r="J10" s="70"/>
    </row>
    <row r="11" spans="1:10" ht="15" x14ac:dyDescent="0.25">
      <c r="A11" s="14" t="s">
        <v>52</v>
      </c>
      <c r="B11" s="16">
        <f>B10/30</f>
        <v>111912.09249999998</v>
      </c>
      <c r="C11" s="16">
        <f>B11/F2</f>
        <v>6409.6272909507434</v>
      </c>
      <c r="D11" s="15"/>
      <c r="E11" s="70"/>
      <c r="F11" s="70"/>
      <c r="G11" s="70"/>
      <c r="H11" s="70"/>
      <c r="I11" s="70"/>
      <c r="J11" s="70"/>
    </row>
    <row r="12" spans="1:10" ht="15" x14ac:dyDescent="0.25">
      <c r="A12" s="14" t="s">
        <v>62</v>
      </c>
      <c r="B12" s="16">
        <f>B11*0.3</f>
        <v>33573.627749999992</v>
      </c>
      <c r="C12" s="16">
        <f>B12/F2</f>
        <v>1922.8881872852228</v>
      </c>
      <c r="E12" s="70"/>
      <c r="F12" s="70"/>
      <c r="G12" s="70"/>
      <c r="H12" s="70"/>
      <c r="I12" s="70"/>
      <c r="J12" s="70"/>
    </row>
    <row r="13" spans="1:10" ht="15" x14ac:dyDescent="0.25">
      <c r="A13" s="14" t="s">
        <v>37</v>
      </c>
      <c r="B13" s="16">
        <f>B11-B12</f>
        <v>78338.464749999985</v>
      </c>
      <c r="C13" s="16">
        <f>B13/F2</f>
        <v>4486.7391036655199</v>
      </c>
      <c r="D13" s="2"/>
      <c r="E13" s="70"/>
      <c r="F13" s="70"/>
      <c r="G13" s="70"/>
      <c r="H13" s="70"/>
      <c r="I13" s="70"/>
      <c r="J13" s="70"/>
    </row>
    <row r="14" spans="1:10" x14ac:dyDescent="0.2">
      <c r="E14" s="70"/>
      <c r="F14" s="70"/>
      <c r="G14" s="70"/>
      <c r="H14" s="70"/>
      <c r="I14" s="70"/>
      <c r="J14" s="70"/>
    </row>
    <row r="15" spans="1:10" ht="15.75" thickBot="1" x14ac:dyDescent="0.3">
      <c r="A15" s="75" t="s">
        <v>54</v>
      </c>
      <c r="B15" s="76"/>
      <c r="C15" s="76"/>
      <c r="E15" s="70"/>
      <c r="F15" s="70"/>
      <c r="G15" s="70"/>
      <c r="H15" s="70"/>
      <c r="I15" s="70"/>
      <c r="J15" s="70"/>
    </row>
    <row r="16" spans="1:10" ht="15.75" thickTop="1" x14ac:dyDescent="0.25">
      <c r="A16" s="32"/>
      <c r="B16" s="32" t="s">
        <v>40</v>
      </c>
      <c r="C16" s="32" t="s">
        <v>43</v>
      </c>
      <c r="E16" s="70"/>
      <c r="F16" s="70"/>
      <c r="G16" s="70"/>
      <c r="H16" s="70"/>
      <c r="I16" s="70"/>
      <c r="J16" s="70"/>
    </row>
    <row r="17" spans="1:10" ht="15" x14ac:dyDescent="0.25">
      <c r="A17" s="14" t="s">
        <v>45</v>
      </c>
      <c r="B17" s="16">
        <f>B22*0.25</f>
        <v>1398901.1562499998</v>
      </c>
      <c r="C17" s="16">
        <f>C22*0.25</f>
        <v>80120.341136884294</v>
      </c>
      <c r="E17" s="70"/>
      <c r="F17" s="70"/>
      <c r="G17" s="70"/>
      <c r="H17" s="70"/>
      <c r="I17" s="70"/>
      <c r="J17" s="70"/>
    </row>
    <row r="18" spans="1:10" ht="15" x14ac:dyDescent="0.25">
      <c r="A18" s="14" t="s">
        <v>46</v>
      </c>
      <c r="B18" s="16">
        <f>B22*0.3</f>
        <v>1678681.3874999997</v>
      </c>
      <c r="C18" s="16">
        <f>C22*0.3</f>
        <v>96144.409364261155</v>
      </c>
      <c r="E18" s="70"/>
      <c r="F18" s="70"/>
      <c r="G18" s="70"/>
      <c r="H18" s="70"/>
      <c r="I18" s="70"/>
      <c r="J18" s="70"/>
    </row>
    <row r="19" spans="1:10" ht="15" x14ac:dyDescent="0.25">
      <c r="A19" s="14" t="s">
        <v>47</v>
      </c>
      <c r="B19" s="16">
        <f>B22*0.4</f>
        <v>2238241.8499999996</v>
      </c>
      <c r="C19" s="16">
        <f>C22*0.4</f>
        <v>128192.54581901488</v>
      </c>
      <c r="E19" s="70"/>
      <c r="F19" s="70"/>
      <c r="G19" s="70"/>
      <c r="H19" s="70"/>
      <c r="I19" s="70"/>
      <c r="J19" s="70"/>
    </row>
    <row r="20" spans="1:10" ht="15" x14ac:dyDescent="0.25">
      <c r="A20" s="14" t="s">
        <v>48</v>
      </c>
      <c r="B20" s="16">
        <f>B22*0.25</f>
        <v>1398901.1562499998</v>
      </c>
      <c r="C20" s="16">
        <f>C22*0.025</f>
        <v>8012.0341136884299</v>
      </c>
      <c r="E20" s="70"/>
      <c r="F20" s="70"/>
      <c r="G20" s="70"/>
      <c r="H20" s="70"/>
      <c r="I20" s="70"/>
      <c r="J20" s="70"/>
    </row>
    <row r="21" spans="1:10" ht="15" x14ac:dyDescent="0.25">
      <c r="A21" s="14" t="s">
        <v>49</v>
      </c>
      <c r="B21" s="16">
        <f>B22*0.25</f>
        <v>1398901.1562499998</v>
      </c>
      <c r="C21" s="16">
        <f>C22*0.025</f>
        <v>8012.0341136884299</v>
      </c>
      <c r="E21" s="68" t="s">
        <v>61</v>
      </c>
      <c r="F21" s="69"/>
      <c r="G21" s="69"/>
      <c r="H21" s="69"/>
      <c r="I21" s="69"/>
      <c r="J21" s="69"/>
    </row>
    <row r="22" spans="1:10" ht="15" x14ac:dyDescent="0.25">
      <c r="A22" s="14" t="s">
        <v>44</v>
      </c>
      <c r="B22" s="16">
        <f>B9</f>
        <v>5595604.6249999991</v>
      </c>
      <c r="C22" s="16">
        <f>C9</f>
        <v>320481.36454753717</v>
      </c>
      <c r="E22" s="69"/>
      <c r="F22" s="69"/>
      <c r="G22" s="69"/>
      <c r="H22" s="69"/>
      <c r="I22" s="69"/>
      <c r="J22" s="69"/>
    </row>
    <row r="23" spans="1:10" x14ac:dyDescent="0.2">
      <c r="E23" s="69"/>
      <c r="F23" s="69"/>
      <c r="G23" s="69"/>
      <c r="H23" s="69"/>
      <c r="I23" s="69"/>
      <c r="J23" s="69"/>
    </row>
    <row r="24" spans="1:10" ht="15.75" thickBot="1" x14ac:dyDescent="0.3">
      <c r="A24" s="80" t="s">
        <v>51</v>
      </c>
      <c r="B24" s="80"/>
      <c r="C24" s="80"/>
      <c r="D24" s="15"/>
      <c r="E24" s="69"/>
      <c r="F24" s="69"/>
      <c r="G24" s="69"/>
      <c r="H24" s="69"/>
      <c r="I24" s="69"/>
      <c r="J24" s="69"/>
    </row>
    <row r="25" spans="1:10" ht="16.5" thickTop="1" thickBot="1" x14ac:dyDescent="0.3">
      <c r="A25" s="58" t="s">
        <v>99</v>
      </c>
      <c r="B25" s="31" t="s">
        <v>40</v>
      </c>
      <c r="C25" s="31" t="s">
        <v>43</v>
      </c>
      <c r="E25" s="22"/>
      <c r="F25" s="22"/>
      <c r="G25" s="22"/>
      <c r="H25" s="22"/>
      <c r="I25" s="22"/>
      <c r="J25" s="22"/>
    </row>
    <row r="26" spans="1:10" ht="16.5" thickTop="1" thickBot="1" x14ac:dyDescent="0.3">
      <c r="A26" s="59">
        <v>0.25</v>
      </c>
      <c r="B26" s="61">
        <f>B3*A26</f>
        <v>447648.36999999994</v>
      </c>
      <c r="C26" s="61">
        <f>C3*A26</f>
        <v>25638.509163802973</v>
      </c>
      <c r="E26" s="22"/>
      <c r="F26" s="22"/>
      <c r="G26" s="22"/>
      <c r="H26" s="22"/>
      <c r="I26" s="22"/>
      <c r="J26" s="22"/>
    </row>
    <row r="27" spans="1:10" ht="16.5" thickTop="1" thickBot="1" x14ac:dyDescent="0.3">
      <c r="A27" s="59">
        <v>0.3</v>
      </c>
      <c r="B27" s="61">
        <f>B3*A27</f>
        <v>537178.04399999988</v>
      </c>
      <c r="C27" s="61">
        <f>C3*A27</f>
        <v>30766.210996563568</v>
      </c>
    </row>
    <row r="28" spans="1:10" ht="16.5" thickTop="1" thickBot="1" x14ac:dyDescent="0.3">
      <c r="A28" s="59">
        <v>0.4</v>
      </c>
      <c r="B28" s="61">
        <f>B3*A28</f>
        <v>716237.39199999999</v>
      </c>
      <c r="C28" s="61">
        <f>C3*A28</f>
        <v>41021.614662084758</v>
      </c>
    </row>
    <row r="29" spans="1:10" ht="16.5" thickTop="1" thickBot="1" x14ac:dyDescent="0.3">
      <c r="A29" s="60">
        <v>2.5000000000000001E-2</v>
      </c>
      <c r="B29" s="61">
        <f>B3*A29</f>
        <v>44764.837</v>
      </c>
      <c r="C29" s="61">
        <f>C3*A29</f>
        <v>2563.8509163802973</v>
      </c>
      <c r="G29" s="33"/>
      <c r="H29" s="15"/>
    </row>
    <row r="30" spans="1:10" ht="16.5" thickTop="1" thickBot="1" x14ac:dyDescent="0.3">
      <c r="A30" s="60">
        <v>2.5000000000000001E-2</v>
      </c>
      <c r="B30" s="61">
        <f>B3*A30</f>
        <v>44764.837</v>
      </c>
      <c r="C30" s="61">
        <f>C3*A30</f>
        <v>2563.8509163802973</v>
      </c>
    </row>
    <row r="31" spans="1:10" ht="16.5" thickTop="1" thickBot="1" x14ac:dyDescent="0.3">
      <c r="A31" s="59">
        <v>1</v>
      </c>
      <c r="B31" s="61">
        <f>SUM(B26:B30)</f>
        <v>1790593.48</v>
      </c>
      <c r="C31" s="61">
        <f>SUM(C26:C30)</f>
        <v>102554.03665521189</v>
      </c>
    </row>
    <row r="32" spans="1:10" ht="13.5" thickTop="1" x14ac:dyDescent="0.2"/>
  </sheetData>
  <mergeCells count="8">
    <mergeCell ref="E21:J24"/>
    <mergeCell ref="E7:J20"/>
    <mergeCell ref="E6:J6"/>
    <mergeCell ref="E1:F1"/>
    <mergeCell ref="A1:C1"/>
    <mergeCell ref="A15:C15"/>
    <mergeCell ref="A6:C6"/>
    <mergeCell ref="A24:C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Cotización</vt:lpstr>
      <vt:lpstr>Ganancias</vt:lpstr>
      <vt:lpstr>Desglose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2023-05-30T07:51:33Z</dcterms:modified>
</cp:coreProperties>
</file>