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tirShadow\Documents\GitHub\ProyectoRedes\Ventas\Propuesta Económica\"/>
    </mc:Choice>
  </mc:AlternateContent>
  <xr:revisionPtr revIDLastSave="0" documentId="13_ncr:1_{B22E69DD-6406-4F1D-B8B8-E7723ADE2E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24" i="2"/>
  <c r="B23" i="2"/>
  <c r="B22" i="2"/>
  <c r="B21" i="2"/>
  <c r="B20" i="2"/>
  <c r="B25" i="2"/>
  <c r="C25" i="2"/>
  <c r="C20" i="2"/>
  <c r="B11" i="2"/>
  <c r="B3" i="2"/>
  <c r="F18" i="1"/>
  <c r="F19" i="1"/>
  <c r="G19" i="1"/>
  <c r="H19" i="1" s="1"/>
  <c r="D16" i="1"/>
  <c r="G16" i="1" s="1"/>
  <c r="H16" i="1" s="1"/>
  <c r="D17" i="1"/>
  <c r="G17" i="1" s="1"/>
  <c r="H17" i="1" s="1"/>
  <c r="D15" i="1"/>
  <c r="G15" i="1" s="1"/>
  <c r="H15" i="1" s="1"/>
  <c r="D14" i="1"/>
  <c r="G14" i="1" s="1"/>
  <c r="H14" i="1" s="1"/>
  <c r="F13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F12" i="1"/>
  <c r="F7" i="1"/>
  <c r="F8" i="1"/>
  <c r="F9" i="1"/>
  <c r="F10" i="1"/>
  <c r="F11" i="1"/>
  <c r="F5" i="1"/>
  <c r="F6" i="1"/>
  <c r="G13" i="1"/>
  <c r="H13" i="1" s="1"/>
  <c r="G18" i="1"/>
  <c r="H18" i="1" s="1"/>
  <c r="G12" i="1"/>
  <c r="H12" i="1" s="1"/>
  <c r="F4" i="1"/>
  <c r="F3" i="1"/>
  <c r="C11" i="2" l="1"/>
  <c r="B12" i="2"/>
  <c r="B13" i="2" s="1"/>
  <c r="H3" i="1"/>
  <c r="C3" i="2" s="1"/>
  <c r="F17" i="1"/>
  <c r="F16" i="1"/>
  <c r="F15" i="1"/>
  <c r="F14" i="1"/>
  <c r="C12" i="2" l="1"/>
  <c r="C13" i="2"/>
  <c r="C23" i="2" l="1"/>
  <c r="C22" i="2"/>
  <c r="C24" i="2"/>
  <c r="C21" i="2"/>
  <c r="C14" i="2" l="1"/>
  <c r="C15" i="2" l="1"/>
  <c r="B16" i="2"/>
  <c r="C16" i="2" s="1"/>
</calcChain>
</file>

<file path=xl/sharedStrings.xml><?xml version="1.0" encoding="utf-8"?>
<sst xmlns="http://schemas.openxmlformats.org/spreadsheetml/2006/main" count="75" uniqueCount="67">
  <si>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</si>
  <si>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</si>
  <si>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</si>
  <si>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</si>
  <si>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</si>
  <si>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</si>
  <si>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</si>
  <si>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</si>
  <si>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</si>
  <si>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</si>
  <si>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</si>
  <si>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</si>
  <si>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</si>
  <si>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</si>
  <si>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</si>
  <si>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https://articulo.mercadolibre.com.mx/MLM-1300594446-100-piezas-cable-cat6-rj45-conectores-cat6-cat5e-rj45utp-_JM#position=5&amp;search_layout=grid&amp;type=item&amp;tracking_id=d26aa09f-a4f7-44a7-b455-ec3998c093b6</t>
  </si>
  <si>
    <t>Viáticos diarios P/Persona</t>
  </si>
  <si>
    <t>DESCUENTOS</t>
  </si>
  <si>
    <t>https://paquetes.cityexpress.com/reservar/detalle-reservacion-paquetes</t>
  </si>
  <si>
    <t>Veracruz Vuelo y Hospedaje Con Desayuno 2 Personas</t>
  </si>
  <si>
    <t>Guadalajara Vuelo y Hospedaje Con Desayuno 2 Personas</t>
  </si>
  <si>
    <t>Querétaro Vuelo y Hospedaje Con Desayuno 2 Personas</t>
  </si>
  <si>
    <t>Monterrey Vuelo y Hospedaje Con Desayuno 2 Personas</t>
  </si>
  <si>
    <t>https://www.priceline.com/rentalcars/Mexico%20City%20Mexico/Mexico%20City%20Mexico/20230516-10%3A00/20230530-10%3A00/list?detailsKey=MEXC001~MEXC001~R~N~~18822ce833f~~refCode-22-a769e839-1bbd-4f9f-b851-b7d56fef1fd1~20230516T10%3A00~20230530T10%3A00~AV~FQMR~USD~1068.52~~~~~878.00~1187.55~~*&amp;preferredPartnerCode=AV&amp;refid=PLKAYAK&amp;refclickid=CSR_RC%7CAvis%20Rent%20a%20Car%7C*Q**%7CMEXC001%7CMEXC001%7CPL%7C000%7C14%7Ctrue%7CRT%7CKC%3AsZFr71f8tJ8qTJz_MDLToA&amp;utm_medium=SHOP_PPC&amp;utm_source=PLKAYAK&amp;utm_term=CSR_RC%7CAvis%20Rent%20a%20Car%7C*Q**%7CMEXC001%7CMEXC001%7CPL%7C000%7C14%7Ctrue%7CRT%7CKC%3AsZFr71f8tJ8qTJz_MDLToA&amp;utm_content=CMP2&amp;utm_campaign=Car_Contract&amp;currencycode=USD&amp;carclass=FQMR&amp;dct=&amp;locale=&amp;pos=US&amp;currencyCode=USD&amp;slingshot=1774</t>
  </si>
  <si>
    <t>Gasolina Monterrey ida y vuelta</t>
  </si>
  <si>
    <t>Gasolina Guadalajara ida y vuelta</t>
  </si>
  <si>
    <t>Gasolina Querétaro ida y vuelta</t>
  </si>
  <si>
    <t>Gasolina Veracruz ida y vuelta</t>
  </si>
  <si>
    <t>Gastos movilidad</t>
  </si>
  <si>
    <t>https://www.distancial.com/Map/Ciudad%20de%20mexico/Queretaro</t>
  </si>
  <si>
    <t>https://www.distancial.com/Map/Ciudad%20de%20mexico/Veracruz</t>
  </si>
  <si>
    <t>https://www.distancial.com/Map/Ciudad%20de%20mexico/Jalisco</t>
  </si>
  <si>
    <t>https://www.distancial.com/distancia-de-cdmx-a-monterrey</t>
  </si>
  <si>
    <t>Pago chofer 15 días</t>
  </si>
  <si>
    <t>Porcentaje de error</t>
  </si>
  <si>
    <t>Camioneta transporte Accesorios y Movilidad</t>
  </si>
  <si>
    <t>Porcentaje Ganancia</t>
  </si>
  <si>
    <t>Venta</t>
  </si>
  <si>
    <t>Ganacia</t>
  </si>
  <si>
    <t>Ganancia Bruta Por Persona</t>
  </si>
  <si>
    <t>Dolares</t>
  </si>
  <si>
    <t>Tipo de cambio</t>
  </si>
  <si>
    <t>Pesos</t>
  </si>
  <si>
    <t>Vigencia</t>
  </si>
  <si>
    <t>2 semanas</t>
  </si>
  <si>
    <t>Dólares</t>
  </si>
  <si>
    <t>Total</t>
  </si>
  <si>
    <t>Pago inicial: 25%</t>
  </si>
  <si>
    <t>Diseño de red: 30%</t>
  </si>
  <si>
    <t>Compra e instalación de equipos de red: 40%</t>
  </si>
  <si>
    <t>Monitoreo 1: 2.5%</t>
  </si>
  <si>
    <t>Monitoreo 2: 2.5%</t>
  </si>
  <si>
    <t>Total Proyecto Peso y Dolar</t>
  </si>
  <si>
    <t>Porcentajes</t>
  </si>
  <si>
    <t>Ganancia por Persona</t>
  </si>
  <si>
    <t>Ganancias del Proyecto</t>
  </si>
  <si>
    <t>Pagos Desglozados</t>
  </si>
  <si>
    <t>Descripción Planes de Pago</t>
  </si>
  <si>
    <t>Medios De Pago</t>
  </si>
  <si>
    <t>Tarjeta de Crédito</t>
  </si>
  <si>
    <t>Tarjeta de Débito</t>
  </si>
  <si>
    <t>Gastos Con porcentaje de Error</t>
  </si>
  <si>
    <t>Pago inicial: 25% del costo total del proyecto ($33,390.88 USD) al momento de firmar el contrato.
Diseño de red: 30% del costo total del proyecto ($40,069.05 USD) al completar el diseño de red y entregarlo al cliente para su aprobación.
Compra e instalación de equipos de red: 40% del costo total del proyecto ($53,425.40 USD) al completar la compra e instalación de los equipos de red en los 5 diferentes centros de la república.
Monitoreo preventivo: 2.5% del costo total del proyecto ($3,339.09 USD) al completar el primer monitoreo preventivo, medio año después de la instalación de los equipos de red.
Pago final: 2.5% del costo total del proyecto ($3,339.09) al completar el segundo monitoreo preventivo, 1 año después de la instalación de los equipos de red.</t>
  </si>
  <si>
    <t>Pago total: 100% del pago al momento de firmar contrato (Se aplica 5% de descuento al total del proyecto. De $133,563.50 USD a $126,885.33 USD).</t>
  </si>
  <si>
    <t>Impuestos Retenidos Por Persona</t>
  </si>
  <si>
    <t>Cheques</t>
  </si>
  <si>
    <t>Conector RJ45 Cat6 (100 piezas)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</si>
</sst>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36"/>
      <color rgb="FFFFFFFF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</font>
    <font>
      <u val="singleAccounting"/>
      <sz val="11"/>
      <color rgb="FF006100"/>
      <name val="Arial"/>
      <family val="2"/>
      <scheme val="minor"/>
    </font>
    <font>
      <b/>
      <u/>
      <sz val="11"/>
      <color theme="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2" applyNumberFormat="0" applyAlignment="0" applyProtection="0"/>
    <xf numFmtId="9" fontId="7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56">
    <xf numFmtId="0" fontId="0" fillId="0" borderId="0" xfId="0"/>
    <xf numFmtId="0" fontId="4" fillId="3" borderId="0" xfId="0" applyFont="1" applyFill="1" applyAlignment="1">
      <alignment horizontal="center" vertical="top" wrapText="1"/>
    </xf>
    <xf numFmtId="0" fontId="10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6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5" borderId="3" xfId="4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164" fontId="8" fillId="0" borderId="0" xfId="2" applyFont="1" applyAlignment="1">
      <alignment horizontal="center" vertical="center"/>
    </xf>
    <xf numFmtId="0" fontId="14" fillId="3" borderId="0" xfId="0" applyFont="1" applyFill="1" applyAlignment="1">
      <alignment horizontal="center" vertical="top" wrapText="1"/>
    </xf>
    <xf numFmtId="1" fontId="5" fillId="0" borderId="0" xfId="5" applyNumberFormat="1" applyFont="1" applyAlignment="1">
      <alignment horizontal="center" vertical="center"/>
    </xf>
    <xf numFmtId="1" fontId="0" fillId="0" borderId="0" xfId="5" applyNumberFormat="1" applyFont="1" applyAlignment="1">
      <alignment horizontal="center" vertical="center"/>
    </xf>
    <xf numFmtId="0" fontId="13" fillId="5" borderId="3" xfId="4" applyBorder="1"/>
    <xf numFmtId="9" fontId="12" fillId="4" borderId="3" xfId="3" applyNumberFormat="1" applyBorder="1"/>
    <xf numFmtId="164" fontId="0" fillId="0" borderId="0" xfId="0" applyNumberFormat="1"/>
    <xf numFmtId="164" fontId="12" fillId="4" borderId="3" xfId="3" applyNumberFormat="1" applyBorder="1"/>
    <xf numFmtId="0" fontId="12" fillId="4" borderId="3" xfId="3" applyBorder="1"/>
    <xf numFmtId="0" fontId="13" fillId="5" borderId="2" xfId="4" applyAlignment="1">
      <alignment horizontal="center" vertical="center"/>
    </xf>
    <xf numFmtId="1" fontId="13" fillId="5" borderId="3" xfId="4" applyNumberFormat="1" applyBorder="1" applyAlignment="1">
      <alignment horizontal="center" vertical="center"/>
    </xf>
    <xf numFmtId="0" fontId="13" fillId="5" borderId="3" xfId="4" applyBorder="1" applyAlignment="1">
      <alignment horizontal="left" vertical="center"/>
    </xf>
    <xf numFmtId="0" fontId="2" fillId="0" borderId="0" xfId="6" applyFill="1" applyAlignment="1">
      <alignment vertical="top" wrapText="1"/>
    </xf>
    <xf numFmtId="0" fontId="2" fillId="0" borderId="0" xfId="7" applyFill="1" applyAlignment="1">
      <alignment vertical="top" wrapText="1"/>
    </xf>
    <xf numFmtId="165" fontId="13" fillId="5" borderId="2" xfId="4" applyNumberFormat="1" applyAlignment="1">
      <alignment horizontal="center" vertical="center"/>
    </xf>
    <xf numFmtId="165" fontId="13" fillId="9" borderId="2" xfId="4" applyNumberFormat="1" applyFill="1" applyAlignment="1">
      <alignment horizontal="center" vertical="center"/>
    </xf>
    <xf numFmtId="164" fontId="12" fillId="4" borderId="3" xfId="3" applyNumberFormat="1" applyBorder="1" applyAlignment="1">
      <alignment horizontal="center" vertical="center"/>
    </xf>
    <xf numFmtId="164" fontId="12" fillId="4" borderId="3" xfId="2" applyFont="1" applyFill="1" applyBorder="1" applyAlignment="1">
      <alignment horizontal="center" vertical="center"/>
    </xf>
    <xf numFmtId="164" fontId="12" fillId="4" borderId="3" xfId="2" applyFont="1" applyFill="1" applyBorder="1"/>
    <xf numFmtId="164" fontId="5" fillId="0" borderId="0" xfId="2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164" fontId="15" fillId="4" borderId="3" xfId="3" applyNumberFormat="1" applyFont="1" applyBorder="1"/>
    <xf numFmtId="0" fontId="13" fillId="5" borderId="2" xfId="4"/>
    <xf numFmtId="0" fontId="13" fillId="5" borderId="8" xfId="4" applyBorder="1"/>
    <xf numFmtId="4" fontId="0" fillId="0" borderId="0" xfId="0" applyNumberFormat="1"/>
    <xf numFmtId="0" fontId="16" fillId="5" borderId="2" xfId="4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6" borderId="0" xfId="6" applyFont="1" applyAlignment="1">
      <alignment horizontal="center" vertical="center" wrapText="1"/>
    </xf>
    <xf numFmtId="0" fontId="2" fillId="6" borderId="0" xfId="6" applyAlignment="1">
      <alignment horizontal="center" vertical="center" wrapText="1"/>
    </xf>
    <xf numFmtId="0" fontId="1" fillId="7" borderId="0" xfId="7" applyFont="1" applyAlignment="1">
      <alignment horizontal="center" vertical="center" wrapText="1"/>
    </xf>
    <xf numFmtId="0" fontId="2" fillId="7" borderId="0" xfId="7" applyAlignment="1">
      <alignment horizontal="center" vertical="center" wrapText="1"/>
    </xf>
    <xf numFmtId="0" fontId="13" fillId="8" borderId="7" xfId="4" applyFill="1" applyBorder="1" applyAlignment="1">
      <alignment horizontal="center"/>
    </xf>
    <xf numFmtId="0" fontId="13" fillId="8" borderId="0" xfId="4" applyFill="1" applyBorder="1" applyAlignment="1">
      <alignment horizontal="center"/>
    </xf>
    <xf numFmtId="14" fontId="13" fillId="8" borderId="2" xfId="4" applyNumberFormat="1" applyFill="1" applyAlignment="1">
      <alignment horizontal="center" vertical="center"/>
    </xf>
    <xf numFmtId="0" fontId="13" fillId="8" borderId="2" xfId="4" applyFill="1" applyAlignment="1">
      <alignment horizontal="center" vertical="center"/>
    </xf>
    <xf numFmtId="0" fontId="13" fillId="8" borderId="2" xfId="4" applyFill="1" applyAlignment="1">
      <alignment horizontal="center"/>
    </xf>
    <xf numFmtId="0" fontId="13" fillId="8" borderId="4" xfId="4" applyFill="1" applyBorder="1" applyAlignment="1">
      <alignment horizontal="center"/>
    </xf>
    <xf numFmtId="0" fontId="13" fillId="8" borderId="5" xfId="4" applyFill="1" applyBorder="1" applyAlignment="1">
      <alignment horizontal="center"/>
    </xf>
    <xf numFmtId="0" fontId="13" fillId="8" borderId="6" xfId="4" applyFill="1" applyBorder="1" applyAlignment="1">
      <alignment horizontal="center"/>
    </xf>
    <xf numFmtId="0" fontId="13" fillId="8" borderId="1" xfId="4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8">
    <cellStyle name="20% - Énfasis1" xfId="6" builtinId="30"/>
    <cellStyle name="40% - Énfasis6" xfId="7" builtinId="51"/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  <cellStyle name="Porcentaje" xfId="5" builtinId="5"/>
  </cellStyles>
  <dxfs count="9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I19" totalsRowShown="0" headerRowDxfId="8">
  <autoFilter ref="A2:I19" xr:uid="{260CAE73-387D-4728-94B4-6CA7A8B0F168}"/>
  <tableColumns count="9">
    <tableColumn id="1" xr3:uid="{F6F1872D-62D6-465A-9EB6-D1E64C7FD1EA}" name="N ITEM" dataDxfId="7"/>
    <tableColumn id="2" xr3:uid="{05A4D583-BEEA-420F-8DC9-DB385506B921}" name="DESCRIPCIÓN" dataDxfId="6"/>
    <tableColumn id="3" xr3:uid="{16119888-3FB2-48ED-BB90-CB4798528804}" name="NO. DE PARTE" dataDxfId="5" dataCellStyle="Moneda"/>
    <tableColumn id="4" xr3:uid="{17DCB875-5E51-4C91-B16E-78560646B0A5}" name="PRECIO UNITARIO" dataDxfId="4" dataCellStyle="Moneda"/>
    <tableColumn id="8" xr3:uid="{9504F072-2CE8-4154-ADE6-5071E962149C}" name="DESCUENTOS"/>
    <tableColumn id="5" xr3:uid="{DAECB143-E7A2-4C29-91CB-3EBCE0FFA4CA}" name="SUBTOTAL" dataDxfId="3" dataCellStyle="Moneda"/>
    <tableColumn id="10" xr3:uid="{B913AF07-4667-4467-8BAC-58B0321E83ED}" name="TOTAL" dataDxfId="2" dataCellStyle="Moneda">
      <calculatedColumnFormula>(C3*D3)*(100/100)</calculatedColumnFormula>
    </tableColumn>
    <tableColumn id="9" xr3:uid="{1ADA9541-18CA-4B01-BDAC-D6008F0FAA29}" name="Dolares" dataDxfId="1" dataCellStyle="Moneda">
      <calculatedColumnFormula>G3/Hoja1!$F2</calculatedColumnFormula>
    </tableColumn>
    <tableColumn id="6" xr3:uid="{CDC3B595-CE04-4E68-9C64-2BFC0D49CE76}" name="LINK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7" Type="http://schemas.openxmlformats.org/officeDocument/2006/relationships/hyperlink" Target="https://articulo.mercadolibre.com.mx/MLM-1300594446-100-piezas-cable-cat6-rj45-conectores-cat6-cat5e-rj45utp-_JM" TargetMode="External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6" Type="http://schemas.openxmlformats.org/officeDocument/2006/relationships/hyperlink" Target="https://paquetes.cityexpress.com/reservar/detalle-reservacion-paquetes" TargetMode="External"/><Relationship Id="rId5" Type="http://schemas.openxmlformats.org/officeDocument/2006/relationships/hyperlink" Target="https://paquetes.cityexpress.com/reservar/detalle-reservacion-paquetes" TargetMode="External"/><Relationship Id="rId4" Type="http://schemas.openxmlformats.org/officeDocument/2006/relationships/hyperlink" Target="https://paquetes.cityexpress.com/reservar/detalle-reservacion-paquetes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5"/>
  <sheetViews>
    <sheetView topLeftCell="B1" zoomScaleNormal="10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I13" sqref="I13"/>
    </sheetView>
  </sheetViews>
  <sheetFormatPr baseColWidth="10" defaultColWidth="12.5546875" defaultRowHeight="15.75" customHeight="1" x14ac:dyDescent="0.25"/>
  <cols>
    <col min="1" max="1" width="47.44140625" bestFit="1" customWidth="1"/>
    <col min="2" max="2" width="52.5546875" bestFit="1" customWidth="1"/>
    <col min="3" max="3" width="29.33203125" bestFit="1" customWidth="1"/>
    <col min="4" max="4" width="28.5546875" bestFit="1" customWidth="1"/>
    <col min="5" max="5" width="23.6640625" bestFit="1" customWidth="1"/>
    <col min="6" max="6" width="19.88671875" bestFit="1" customWidth="1"/>
    <col min="7" max="7" width="14.44140625" bestFit="1" customWidth="1"/>
    <col min="8" max="8" width="19.5546875" bestFit="1" customWidth="1"/>
    <col min="10" max="10" width="2.5546875" customWidth="1"/>
  </cols>
  <sheetData>
    <row r="1" spans="1:9" ht="46.2" x14ac:dyDescent="0.85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5" t="s">
        <v>17</v>
      </c>
      <c r="F2" s="1" t="s">
        <v>5</v>
      </c>
      <c r="G2" s="15" t="s">
        <v>6</v>
      </c>
      <c r="H2" s="15" t="s">
        <v>40</v>
      </c>
      <c r="I2" s="1" t="s">
        <v>7</v>
      </c>
    </row>
    <row r="3" spans="1:9" ht="15.75" customHeight="1" x14ac:dyDescent="0.25">
      <c r="A3" s="3">
        <v>1</v>
      </c>
      <c r="B3" s="4" t="s">
        <v>9</v>
      </c>
      <c r="C3" s="7">
        <v>15</v>
      </c>
      <c r="D3" s="33">
        <v>8969</v>
      </c>
      <c r="E3" s="16">
        <v>15</v>
      </c>
      <c r="F3" s="34">
        <f t="shared" ref="F3:F19" si="0">C3*D3</f>
        <v>134535</v>
      </c>
      <c r="G3" s="14">
        <f t="shared" ref="G3:G19" si="1">(C3*D3)*(100/100)</f>
        <v>134535</v>
      </c>
      <c r="H3" s="14">
        <f>G3/Hoja1!F2</f>
        <v>7705.3264604810993</v>
      </c>
      <c r="I3" s="8" t="s">
        <v>8</v>
      </c>
    </row>
    <row r="4" spans="1:9" ht="15.75" customHeight="1" x14ac:dyDescent="0.25">
      <c r="A4" s="3">
        <v>2</v>
      </c>
      <c r="B4" s="5" t="s">
        <v>11</v>
      </c>
      <c r="C4" s="7">
        <v>5</v>
      </c>
      <c r="D4" s="33">
        <v>11310</v>
      </c>
      <c r="E4" s="16">
        <v>5</v>
      </c>
      <c r="F4" s="34">
        <f t="shared" si="0"/>
        <v>56550</v>
      </c>
      <c r="G4" s="14">
        <f t="shared" si="1"/>
        <v>56550</v>
      </c>
      <c r="H4" s="14">
        <f>G4/Hoja1!F2</f>
        <v>3238.8316151202748</v>
      </c>
      <c r="I4" s="8" t="s">
        <v>10</v>
      </c>
    </row>
    <row r="5" spans="1:9" ht="15.75" customHeight="1" x14ac:dyDescent="0.25">
      <c r="A5" s="3">
        <v>3</v>
      </c>
      <c r="B5" s="3" t="s">
        <v>12</v>
      </c>
      <c r="C5" s="7">
        <v>3</v>
      </c>
      <c r="D5" s="34">
        <v>30000</v>
      </c>
      <c r="E5" s="16">
        <v>0</v>
      </c>
      <c r="F5" s="34">
        <f t="shared" si="0"/>
        <v>90000</v>
      </c>
      <c r="G5" s="14">
        <f t="shared" si="1"/>
        <v>90000</v>
      </c>
      <c r="H5" s="14">
        <f>G5/Hoja1!F2</f>
        <v>5154.6391752577319</v>
      </c>
      <c r="I5" s="9"/>
    </row>
    <row r="6" spans="1:9" ht="13.2" x14ac:dyDescent="0.25">
      <c r="A6" s="3">
        <v>4</v>
      </c>
      <c r="B6" s="55" t="s">
        <v>13</v>
      </c>
      <c r="C6" s="7">
        <v>9</v>
      </c>
      <c r="D6" s="34">
        <v>1149</v>
      </c>
      <c r="E6" s="16">
        <v>10</v>
      </c>
      <c r="F6" s="34">
        <f t="shared" si="0"/>
        <v>10341</v>
      </c>
      <c r="G6" s="14">
        <f t="shared" si="1"/>
        <v>10341</v>
      </c>
      <c r="H6" s="14">
        <f>G6/Hoja1!F2</f>
        <v>592.26804123711338</v>
      </c>
      <c r="I6" s="8" t="s">
        <v>14</v>
      </c>
    </row>
    <row r="7" spans="1:9" ht="13.2" x14ac:dyDescent="0.25">
      <c r="A7" s="3">
        <v>5</v>
      </c>
      <c r="B7" s="55" t="s">
        <v>66</v>
      </c>
      <c r="C7" s="7">
        <v>5</v>
      </c>
      <c r="D7" s="34">
        <v>152.28</v>
      </c>
      <c r="E7" s="16">
        <v>0</v>
      </c>
      <c r="F7" s="34">
        <f t="shared" si="0"/>
        <v>761.4</v>
      </c>
      <c r="G7" s="14">
        <f t="shared" si="1"/>
        <v>761.4</v>
      </c>
      <c r="H7" s="14">
        <f>G7/Hoja1!F2</f>
        <v>43.608247422680407</v>
      </c>
      <c r="I7" s="8" t="s">
        <v>15</v>
      </c>
    </row>
    <row r="8" spans="1:9" ht="13.2" x14ac:dyDescent="0.25">
      <c r="A8" s="3">
        <v>6</v>
      </c>
      <c r="B8" s="6" t="s">
        <v>16</v>
      </c>
      <c r="C8" s="7">
        <v>120</v>
      </c>
      <c r="D8" s="34">
        <v>500</v>
      </c>
      <c r="E8" s="16">
        <v>0</v>
      </c>
      <c r="F8" s="34">
        <f t="shared" si="0"/>
        <v>60000</v>
      </c>
      <c r="G8" s="14">
        <f t="shared" si="1"/>
        <v>60000</v>
      </c>
      <c r="H8" s="14">
        <f>G8/Hoja1!F2</f>
        <v>3436.4261168384878</v>
      </c>
      <c r="I8" s="8"/>
    </row>
    <row r="9" spans="1:9" ht="13.2" x14ac:dyDescent="0.25">
      <c r="A9" s="3">
        <v>7</v>
      </c>
      <c r="B9" s="6" t="s">
        <v>19</v>
      </c>
      <c r="C9" s="7">
        <v>15</v>
      </c>
      <c r="D9" s="34">
        <v>2034.933</v>
      </c>
      <c r="E9" s="17">
        <v>0</v>
      </c>
      <c r="F9" s="34">
        <f t="shared" si="0"/>
        <v>30523.994999999999</v>
      </c>
      <c r="G9" s="14">
        <f t="shared" si="1"/>
        <v>30523.994999999999</v>
      </c>
      <c r="H9" s="14">
        <f>G9/Hoja1!F2</f>
        <v>1748.2242268041236</v>
      </c>
      <c r="I9" s="8" t="s">
        <v>18</v>
      </c>
    </row>
    <row r="10" spans="1:9" ht="13.2" x14ac:dyDescent="0.25">
      <c r="A10" s="3">
        <v>8</v>
      </c>
      <c r="B10" s="6" t="s">
        <v>20</v>
      </c>
      <c r="C10" s="13">
        <v>15</v>
      </c>
      <c r="D10" s="14">
        <v>1939.4</v>
      </c>
      <c r="E10" s="17">
        <v>0</v>
      </c>
      <c r="F10" s="34">
        <f t="shared" si="0"/>
        <v>29091</v>
      </c>
      <c r="G10" s="14">
        <f t="shared" si="1"/>
        <v>29091</v>
      </c>
      <c r="H10" s="14">
        <f>G10/Hoja1!F2</f>
        <v>1666.1512027491408</v>
      </c>
      <c r="I10" s="8" t="s">
        <v>18</v>
      </c>
    </row>
    <row r="11" spans="1:9" ht="13.2" x14ac:dyDescent="0.25">
      <c r="A11" s="3">
        <v>9</v>
      </c>
      <c r="B11" s="6" t="s">
        <v>21</v>
      </c>
      <c r="C11" s="13">
        <v>15</v>
      </c>
      <c r="D11" s="14">
        <v>1945.93</v>
      </c>
      <c r="E11" s="17">
        <v>0</v>
      </c>
      <c r="F11" s="34">
        <f t="shared" si="0"/>
        <v>29188.95</v>
      </c>
      <c r="G11" s="14">
        <f t="shared" si="1"/>
        <v>29188.95</v>
      </c>
      <c r="H11" s="14">
        <f>G11/Hoja1!F2</f>
        <v>1671.7611683848797</v>
      </c>
      <c r="I11" s="8" t="s">
        <v>18</v>
      </c>
    </row>
    <row r="12" spans="1:9" ht="13.2" x14ac:dyDescent="0.25">
      <c r="A12" s="3">
        <v>10</v>
      </c>
      <c r="B12" s="6" t="s">
        <v>22</v>
      </c>
      <c r="C12" s="13">
        <v>15</v>
      </c>
      <c r="D12" s="14">
        <v>2141.3330000000001</v>
      </c>
      <c r="E12" s="17">
        <v>0</v>
      </c>
      <c r="F12" s="34">
        <f t="shared" si="0"/>
        <v>32119.995000000003</v>
      </c>
      <c r="G12" s="14">
        <f t="shared" si="1"/>
        <v>32119.995000000003</v>
      </c>
      <c r="H12" s="14">
        <f>G12/Hoja1!F2</f>
        <v>1839.6331615120275</v>
      </c>
      <c r="I12" s="8" t="s">
        <v>18</v>
      </c>
    </row>
    <row r="13" spans="1:9" ht="13.2" x14ac:dyDescent="0.25">
      <c r="A13" s="3">
        <v>11</v>
      </c>
      <c r="B13" s="6" t="s">
        <v>35</v>
      </c>
      <c r="C13" s="13">
        <v>4</v>
      </c>
      <c r="D13" s="14">
        <v>21834.65</v>
      </c>
      <c r="E13" s="17">
        <v>0</v>
      </c>
      <c r="F13" s="34">
        <f t="shared" si="0"/>
        <v>87338.6</v>
      </c>
      <c r="G13" s="14">
        <f t="shared" si="1"/>
        <v>87338.6</v>
      </c>
      <c r="H13" s="14">
        <f>G13/Hoja1!F2</f>
        <v>5002.2107674684994</v>
      </c>
      <c r="I13" s="8" t="s">
        <v>23</v>
      </c>
    </row>
    <row r="14" spans="1:9" ht="13.2" x14ac:dyDescent="0.25">
      <c r="A14" s="3">
        <v>12</v>
      </c>
      <c r="B14" s="6" t="s">
        <v>24</v>
      </c>
      <c r="C14" s="7">
        <v>1</v>
      </c>
      <c r="D14" s="14">
        <f>1312.51*2</f>
        <v>2625.02</v>
      </c>
      <c r="E14" s="17">
        <v>0</v>
      </c>
      <c r="F14" s="34">
        <f t="shared" si="0"/>
        <v>2625.02</v>
      </c>
      <c r="G14" s="34">
        <f t="shared" si="1"/>
        <v>2625.02</v>
      </c>
      <c r="H14" s="14">
        <f>G14/Hoja1!F2</f>
        <v>150.34478808705612</v>
      </c>
      <c r="I14" s="8" t="s">
        <v>32</v>
      </c>
    </row>
    <row r="15" spans="1:9" ht="13.2" x14ac:dyDescent="0.25">
      <c r="A15" s="3">
        <v>13</v>
      </c>
      <c r="B15" s="6" t="s">
        <v>25</v>
      </c>
      <c r="C15" s="7">
        <v>1</v>
      </c>
      <c r="D15" s="34">
        <f>2*826.18</f>
        <v>1652.36</v>
      </c>
      <c r="E15" s="17">
        <v>0</v>
      </c>
      <c r="F15" s="34">
        <f t="shared" si="0"/>
        <v>1652.36</v>
      </c>
      <c r="G15" s="34">
        <f t="shared" si="1"/>
        <v>1652.36</v>
      </c>
      <c r="H15" s="14">
        <f>G15/Hoja1!F2</f>
        <v>94.636884306987383</v>
      </c>
      <c r="I15" s="8" t="s">
        <v>31</v>
      </c>
    </row>
    <row r="16" spans="1:9" ht="13.2" x14ac:dyDescent="0.25">
      <c r="A16" s="3">
        <v>14</v>
      </c>
      <c r="B16" s="6" t="s">
        <v>26</v>
      </c>
      <c r="C16" s="7">
        <v>1</v>
      </c>
      <c r="D16" s="14">
        <f>294.35 * 2</f>
        <v>588.70000000000005</v>
      </c>
      <c r="E16" s="17">
        <v>0</v>
      </c>
      <c r="F16" s="34">
        <f t="shared" si="0"/>
        <v>588.70000000000005</v>
      </c>
      <c r="G16" s="34">
        <f t="shared" si="1"/>
        <v>588.70000000000005</v>
      </c>
      <c r="H16" s="14">
        <f>G16/Hoja1!F2</f>
        <v>33.717067583046962</v>
      </c>
      <c r="I16" s="8" t="s">
        <v>29</v>
      </c>
    </row>
    <row r="17" spans="1:9" ht="13.2" x14ac:dyDescent="0.25">
      <c r="A17" s="3">
        <v>15</v>
      </c>
      <c r="B17" s="6" t="s">
        <v>27</v>
      </c>
      <c r="C17" s="7">
        <v>1</v>
      </c>
      <c r="D17" s="14">
        <f>464.99*2</f>
        <v>929.98</v>
      </c>
      <c r="E17" s="17">
        <v>0</v>
      </c>
      <c r="F17" s="34">
        <f t="shared" si="0"/>
        <v>929.98</v>
      </c>
      <c r="G17" s="34">
        <f t="shared" si="1"/>
        <v>929.98</v>
      </c>
      <c r="H17" s="14">
        <f>G17/Hoja1!F2</f>
        <v>53.263459335624283</v>
      </c>
      <c r="I17" s="8" t="s">
        <v>30</v>
      </c>
    </row>
    <row r="18" spans="1:9" ht="13.2" x14ac:dyDescent="0.25">
      <c r="A18" s="3">
        <v>16</v>
      </c>
      <c r="B18" s="6" t="s">
        <v>28</v>
      </c>
      <c r="C18" s="13">
        <v>4</v>
      </c>
      <c r="D18" s="14">
        <v>15000</v>
      </c>
      <c r="E18" s="17">
        <v>0</v>
      </c>
      <c r="F18" s="34">
        <f t="shared" si="0"/>
        <v>60000</v>
      </c>
      <c r="G18" s="14">
        <f t="shared" si="1"/>
        <v>60000</v>
      </c>
      <c r="H18" s="14">
        <f>G18/Hoja1!F2</f>
        <v>3436.4261168384878</v>
      </c>
      <c r="I18" s="8"/>
    </row>
    <row r="19" spans="1:9" ht="13.5" customHeight="1" x14ac:dyDescent="0.25">
      <c r="A19" s="3">
        <v>17</v>
      </c>
      <c r="B19" s="6" t="s">
        <v>33</v>
      </c>
      <c r="C19" s="13">
        <v>4</v>
      </c>
      <c r="D19" s="14">
        <v>30000</v>
      </c>
      <c r="E19" s="17">
        <v>0</v>
      </c>
      <c r="F19" s="34">
        <f t="shared" si="0"/>
        <v>120000</v>
      </c>
      <c r="G19" s="14">
        <f t="shared" si="1"/>
        <v>120000</v>
      </c>
      <c r="H19" s="14">
        <f>G19/Hoja1!F2</f>
        <v>6872.8522336769756</v>
      </c>
      <c r="I19" s="8"/>
    </row>
    <row r="20" spans="1:9" ht="13.5" customHeight="1" x14ac:dyDescent="0.25">
      <c r="A20" s="3"/>
      <c r="B20" s="6"/>
      <c r="C20" s="13"/>
      <c r="D20" s="12"/>
      <c r="E20" s="17"/>
      <c r="F20" s="11"/>
      <c r="G20" s="12"/>
      <c r="H20" s="12"/>
      <c r="I20" s="8"/>
    </row>
    <row r="21" spans="1:9" ht="13.2" x14ac:dyDescent="0.25"/>
    <row r="22" spans="1:9" ht="13.2" x14ac:dyDescent="0.25"/>
    <row r="23" spans="1:9" ht="13.2" x14ac:dyDescent="0.25"/>
    <row r="24" spans="1:9" ht="13.2" x14ac:dyDescent="0.25"/>
    <row r="25" spans="1:9" ht="13.2" x14ac:dyDescent="0.25"/>
    <row r="26" spans="1:9" ht="13.2" x14ac:dyDescent="0.25"/>
    <row r="27" spans="1:9" ht="12.75" customHeight="1" x14ac:dyDescent="0.25"/>
    <row r="31" spans="1:9" ht="13.2" x14ac:dyDescent="0.25"/>
    <row r="36" spans="6:6" ht="13.2" x14ac:dyDescent="0.25"/>
    <row r="37" spans="6:6" ht="12.75" customHeight="1" x14ac:dyDescent="0.25"/>
    <row r="38" spans="6:6" ht="12.75" customHeight="1" x14ac:dyDescent="0.25"/>
    <row r="39" spans="6:6" ht="12.75" customHeight="1" x14ac:dyDescent="0.25"/>
    <row r="47" spans="6:6" ht="15.75" customHeight="1" x14ac:dyDescent="0.25">
      <c r="F47" s="2"/>
    </row>
    <row r="51" spans="5:10" ht="15.75" customHeight="1" x14ac:dyDescent="0.25">
      <c r="E51" s="26"/>
      <c r="F51" s="26"/>
      <c r="G51" s="26"/>
      <c r="H51" s="26"/>
      <c r="I51" s="26"/>
      <c r="J51" s="26"/>
    </row>
    <row r="52" spans="5:10" ht="15.75" customHeight="1" x14ac:dyDescent="0.25">
      <c r="E52" s="26"/>
      <c r="F52" s="26"/>
      <c r="G52" s="26"/>
      <c r="H52" s="26"/>
      <c r="I52" s="26"/>
      <c r="J52" s="26"/>
    </row>
    <row r="53" spans="5:10" ht="15.75" customHeight="1" x14ac:dyDescent="0.25">
      <c r="E53" s="26"/>
      <c r="F53" s="26"/>
      <c r="G53" s="26"/>
      <c r="H53" s="26"/>
      <c r="I53" s="26"/>
      <c r="J53" s="26"/>
    </row>
    <row r="54" spans="5:10" ht="15.75" customHeight="1" x14ac:dyDescent="0.25">
      <c r="E54" s="26"/>
      <c r="F54" s="26"/>
      <c r="G54" s="26"/>
      <c r="H54" s="26"/>
      <c r="I54" s="26"/>
      <c r="J54" s="26"/>
    </row>
    <row r="55" spans="5:10" ht="15.75" customHeight="1" x14ac:dyDescent="0.25">
      <c r="E55" s="26"/>
      <c r="F55" s="26"/>
      <c r="G55" s="26"/>
      <c r="H55" s="26"/>
      <c r="I55" s="26"/>
      <c r="J55" s="26"/>
    </row>
  </sheetData>
  <mergeCells count="1">
    <mergeCell ref="A1:I1"/>
  </mergeCells>
  <hyperlinks>
    <hyperlink ref="I3" r:id="rId1" xr:uid="{2421FD61-C521-45B2-8DF5-B7B485BF9E38}"/>
    <hyperlink ref="I4" r:id="rId2" xr:uid="{D9DB3FEB-3A05-490A-A601-E4659876CB25}"/>
    <hyperlink ref="I6" r:id="rId3" xr:uid="{D18119C8-5FA6-4F43-8CD8-2A77CC41275D}"/>
    <hyperlink ref="I10" r:id="rId4" xr:uid="{9BE40A90-D202-4C44-8466-BCB4BDBFE904}"/>
    <hyperlink ref="I12" r:id="rId5" xr:uid="{A7BF6B39-7EEC-4D0C-A1BF-9776AEF5C3D7}"/>
    <hyperlink ref="I9" r:id="rId6" xr:uid="{9B74B351-3DA7-4DEA-A4D6-66E406BFB56F}"/>
    <hyperlink ref="I7" r:id="rId7" location="position=5&amp;search_layout=grid&amp;type=item&amp;tracking_id=d26aa09f-a4f7-44a7-b455-ec3998c093b6" xr:uid="{4865831C-F97A-455F-9B3E-7D7A9C269B34}"/>
  </hyperlinks>
  <pageMargins left="0.7" right="0.7" top="0.75" bottom="0.75" header="0.3" footer="0.3"/>
  <pageSetup orientation="portrait" r:id="rId8"/>
  <ignoredErrors>
    <ignoredError sqref="H3:H5" calculatedColumn="1"/>
  </ignoredErrors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CF6-1881-4FFE-91A5-A2EC9A454F01}">
  <dimension ref="A1:J29"/>
  <sheetViews>
    <sheetView tabSelected="1" workbookViewId="0">
      <selection activeCell="E7" sqref="E7:J20"/>
    </sheetView>
  </sheetViews>
  <sheetFormatPr baseColWidth="10" defaultRowHeight="13.2" x14ac:dyDescent="0.25"/>
  <cols>
    <col min="1" max="1" width="47.44140625" bestFit="1" customWidth="1"/>
    <col min="2" max="2" width="15.5546875" bestFit="1" customWidth="1"/>
    <col min="3" max="3" width="13.88671875" bestFit="1" customWidth="1"/>
    <col min="4" max="4" width="12.33203125" bestFit="1" customWidth="1"/>
    <col min="5" max="5" width="16.5546875" bestFit="1" customWidth="1"/>
    <col min="8" max="8" width="19.5546875" bestFit="1" customWidth="1"/>
    <col min="10" max="10" width="22.109375" customWidth="1"/>
  </cols>
  <sheetData>
    <row r="1" spans="1:10" ht="15" thickTop="1" thickBot="1" x14ac:dyDescent="0.3">
      <c r="A1" s="49" t="s">
        <v>52</v>
      </c>
      <c r="B1" s="49"/>
      <c r="C1" s="49"/>
      <c r="D1" s="12"/>
      <c r="E1" s="48">
        <v>45061</v>
      </c>
      <c r="F1" s="48"/>
      <c r="G1" s="12"/>
      <c r="H1" s="29" t="s">
        <v>58</v>
      </c>
      <c r="I1" s="8"/>
    </row>
    <row r="2" spans="1:10" ht="15" thickTop="1" thickBot="1" x14ac:dyDescent="0.3">
      <c r="A2" s="23"/>
      <c r="B2" s="10" t="s">
        <v>42</v>
      </c>
      <c r="C2" s="24" t="s">
        <v>40</v>
      </c>
      <c r="D2" s="12"/>
      <c r="E2" s="18" t="s">
        <v>41</v>
      </c>
      <c r="F2" s="32">
        <v>17.46</v>
      </c>
      <c r="G2" s="12"/>
      <c r="H2" s="28" t="s">
        <v>60</v>
      </c>
      <c r="I2" s="8"/>
    </row>
    <row r="3" spans="1:10" ht="15" thickTop="1" thickBot="1" x14ac:dyDescent="0.3">
      <c r="A3" s="10" t="s">
        <v>46</v>
      </c>
      <c r="B3" s="30">
        <f>SUM(Tabla1[TOTAL])</f>
        <v>746246</v>
      </c>
      <c r="C3" s="31">
        <f>SUM(Tabla1[Dolares])</f>
        <v>42740.320733104229</v>
      </c>
      <c r="D3" s="12"/>
      <c r="E3" s="18" t="s">
        <v>43</v>
      </c>
      <c r="F3" s="22" t="s">
        <v>44</v>
      </c>
      <c r="G3" s="12"/>
      <c r="H3" s="28" t="s">
        <v>59</v>
      </c>
      <c r="I3" s="8"/>
    </row>
    <row r="4" spans="1:10" ht="15" thickTop="1" thickBot="1" x14ac:dyDescent="0.3">
      <c r="C4" s="13"/>
      <c r="D4" s="14"/>
      <c r="E4" s="14"/>
      <c r="H4" s="39" t="s">
        <v>65</v>
      </c>
    </row>
    <row r="5" spans="1:10" ht="15" thickTop="1" thickBot="1" x14ac:dyDescent="0.3">
      <c r="A5" s="50" t="s">
        <v>53</v>
      </c>
      <c r="B5" s="50"/>
      <c r="C5" s="13"/>
      <c r="D5" s="14"/>
      <c r="E5" s="14"/>
    </row>
    <row r="6" spans="1:10" ht="14.4" thickTop="1" x14ac:dyDescent="0.25">
      <c r="A6" s="18" t="s">
        <v>34</v>
      </c>
      <c r="B6" s="19">
        <v>0.15</v>
      </c>
      <c r="E6" s="46" t="s">
        <v>57</v>
      </c>
      <c r="F6" s="47"/>
      <c r="G6" s="47"/>
      <c r="H6" s="47"/>
      <c r="I6" s="47"/>
      <c r="J6" s="47"/>
    </row>
    <row r="7" spans="1:10" ht="13.8" x14ac:dyDescent="0.25">
      <c r="A7" s="18" t="s">
        <v>36</v>
      </c>
      <c r="B7" s="19">
        <v>2.25</v>
      </c>
      <c r="E7" s="44" t="s">
        <v>62</v>
      </c>
      <c r="F7" s="45"/>
      <c r="G7" s="45"/>
      <c r="H7" s="45"/>
      <c r="I7" s="45"/>
      <c r="J7" s="45"/>
    </row>
    <row r="8" spans="1:10" ht="13.8" thickBot="1" x14ac:dyDescent="0.3">
      <c r="E8" s="45"/>
      <c r="F8" s="45"/>
      <c r="G8" s="45"/>
      <c r="H8" s="45"/>
      <c r="I8" s="45"/>
      <c r="J8" s="45"/>
    </row>
    <row r="9" spans="1:10" ht="15" thickTop="1" thickBot="1" x14ac:dyDescent="0.3">
      <c r="A9" s="51" t="s">
        <v>55</v>
      </c>
      <c r="B9" s="52"/>
      <c r="C9" s="53"/>
      <c r="E9" s="45"/>
      <c r="F9" s="45"/>
      <c r="G9" s="45"/>
      <c r="H9" s="45"/>
      <c r="I9" s="45"/>
      <c r="J9" s="45"/>
    </row>
    <row r="10" spans="1:10" ht="15" thickTop="1" thickBot="1" x14ac:dyDescent="0.3">
      <c r="A10" s="36"/>
      <c r="B10" s="18" t="s">
        <v>42</v>
      </c>
      <c r="C10" s="18" t="s">
        <v>45</v>
      </c>
      <c r="E10" s="45"/>
      <c r="F10" s="45"/>
      <c r="G10" s="45"/>
      <c r="H10" s="45"/>
      <c r="I10" s="45"/>
      <c r="J10" s="45"/>
    </row>
    <row r="11" spans="1:10" ht="16.2" thickTop="1" x14ac:dyDescent="0.4">
      <c r="A11" s="25" t="s">
        <v>61</v>
      </c>
      <c r="B11" s="21">
        <f>B3*1.25</f>
        <v>932807.5</v>
      </c>
      <c r="C11" s="35">
        <f>B11/F2</f>
        <v>53425.400916380298</v>
      </c>
      <c r="D11" s="20"/>
      <c r="E11" s="45"/>
      <c r="F11" s="45"/>
      <c r="G11" s="45"/>
      <c r="H11" s="45"/>
      <c r="I11" s="45"/>
      <c r="J11" s="45"/>
    </row>
    <row r="12" spans="1:10" ht="13.8" x14ac:dyDescent="0.25">
      <c r="A12" s="18" t="s">
        <v>37</v>
      </c>
      <c r="B12" s="21">
        <f>B11*2*1.25</f>
        <v>2332018.75</v>
      </c>
      <c r="C12" s="21">
        <f>B12/F2</f>
        <v>133563.50229095074</v>
      </c>
      <c r="E12" s="45"/>
      <c r="F12" s="45"/>
      <c r="G12" s="45"/>
      <c r="H12" s="45"/>
      <c r="I12" s="45"/>
      <c r="J12" s="45"/>
    </row>
    <row r="13" spans="1:10" ht="13.8" x14ac:dyDescent="0.25">
      <c r="A13" s="18" t="s">
        <v>38</v>
      </c>
      <c r="B13" s="21">
        <f>B12-B11</f>
        <v>1399211.25</v>
      </c>
      <c r="C13" s="21">
        <f>B13/F2</f>
        <v>80138.10137457044</v>
      </c>
      <c r="E13" s="45"/>
      <c r="F13" s="45"/>
      <c r="G13" s="45"/>
      <c r="H13" s="45"/>
      <c r="I13" s="45"/>
      <c r="J13" s="45"/>
    </row>
    <row r="14" spans="1:10" ht="13.8" x14ac:dyDescent="0.25">
      <c r="A14" s="18" t="s">
        <v>54</v>
      </c>
      <c r="B14" s="21">
        <f>B13/30</f>
        <v>46640.375</v>
      </c>
      <c r="C14" s="21">
        <f>B14/F2</f>
        <v>2671.2700458190147</v>
      </c>
      <c r="E14" s="45"/>
      <c r="F14" s="45"/>
      <c r="G14" s="45"/>
      <c r="H14" s="45"/>
      <c r="I14" s="45"/>
      <c r="J14" s="45"/>
    </row>
    <row r="15" spans="1:10" ht="13.8" x14ac:dyDescent="0.25">
      <c r="A15" s="18" t="s">
        <v>64</v>
      </c>
      <c r="B15" s="21">
        <f>B14*0.3</f>
        <v>13992.112499999999</v>
      </c>
      <c r="C15" s="21">
        <f>B15/F2</f>
        <v>801.38101374570442</v>
      </c>
      <c r="E15" s="45"/>
      <c r="F15" s="45"/>
      <c r="G15" s="45"/>
      <c r="H15" s="45"/>
      <c r="I15" s="45"/>
      <c r="J15" s="45"/>
    </row>
    <row r="16" spans="1:10" ht="13.8" x14ac:dyDescent="0.25">
      <c r="A16" s="18" t="s">
        <v>39</v>
      </c>
      <c r="B16" s="21">
        <f>B14-B15</f>
        <v>32648.262500000001</v>
      </c>
      <c r="C16" s="21">
        <f>B16/F2</f>
        <v>1869.8890320733103</v>
      </c>
      <c r="E16" s="45"/>
      <c r="F16" s="45"/>
      <c r="G16" s="45"/>
      <c r="H16" s="45"/>
      <c r="I16" s="45"/>
      <c r="J16" s="45"/>
    </row>
    <row r="17" spans="1:10" x14ac:dyDescent="0.25">
      <c r="E17" s="45"/>
      <c r="F17" s="45"/>
      <c r="G17" s="45"/>
      <c r="H17" s="45"/>
      <c r="I17" s="45"/>
      <c r="J17" s="45"/>
    </row>
    <row r="18" spans="1:10" ht="14.4" thickBot="1" x14ac:dyDescent="0.3">
      <c r="A18" s="54" t="s">
        <v>56</v>
      </c>
      <c r="B18" s="47"/>
      <c r="C18" s="47"/>
      <c r="E18" s="45"/>
      <c r="F18" s="45"/>
      <c r="G18" s="45"/>
      <c r="H18" s="45"/>
      <c r="I18" s="45"/>
      <c r="J18" s="45"/>
    </row>
    <row r="19" spans="1:10" ht="14.4" thickTop="1" x14ac:dyDescent="0.25">
      <c r="A19" s="37"/>
      <c r="B19" s="37" t="s">
        <v>42</v>
      </c>
      <c r="C19" s="37" t="s">
        <v>45</v>
      </c>
      <c r="E19" s="45"/>
      <c r="F19" s="45"/>
      <c r="G19" s="45"/>
      <c r="H19" s="45"/>
      <c r="I19" s="45"/>
      <c r="J19" s="45"/>
    </row>
    <row r="20" spans="1:10" ht="13.8" x14ac:dyDescent="0.25">
      <c r="A20" s="18" t="s">
        <v>47</v>
      </c>
      <c r="B20" s="21">
        <f>B25*0.25</f>
        <v>583004.6875</v>
      </c>
      <c r="C20" s="21">
        <f>C25*0.25</f>
        <v>33390.875572737685</v>
      </c>
      <c r="E20" s="45"/>
      <c r="F20" s="45"/>
      <c r="G20" s="45"/>
      <c r="H20" s="45"/>
      <c r="I20" s="45"/>
      <c r="J20" s="45"/>
    </row>
    <row r="21" spans="1:10" ht="13.8" x14ac:dyDescent="0.25">
      <c r="A21" s="18" t="s">
        <v>48</v>
      </c>
      <c r="B21" s="21">
        <f>B25*0.3</f>
        <v>699605.625</v>
      </c>
      <c r="C21" s="21">
        <f>C25*0.3</f>
        <v>40069.05068728522</v>
      </c>
      <c r="E21" s="42" t="s">
        <v>63</v>
      </c>
      <c r="F21" s="43"/>
      <c r="G21" s="43"/>
      <c r="H21" s="43"/>
      <c r="I21" s="43"/>
      <c r="J21" s="43"/>
    </row>
    <row r="22" spans="1:10" ht="13.8" x14ac:dyDescent="0.25">
      <c r="A22" s="18" t="s">
        <v>49</v>
      </c>
      <c r="B22" s="21">
        <f>B25*0.4</f>
        <v>932807.5</v>
      </c>
      <c r="C22" s="21">
        <f>C25*0.4</f>
        <v>53425.400916380298</v>
      </c>
      <c r="E22" s="43"/>
      <c r="F22" s="43"/>
      <c r="G22" s="43"/>
      <c r="H22" s="43"/>
      <c r="I22" s="43"/>
      <c r="J22" s="43"/>
    </row>
    <row r="23" spans="1:10" ht="13.8" x14ac:dyDescent="0.25">
      <c r="A23" s="18" t="s">
        <v>50</v>
      </c>
      <c r="B23" s="21">
        <f>B25*0.25</f>
        <v>583004.6875</v>
      </c>
      <c r="C23" s="21">
        <f>C25*0.025</f>
        <v>3339.0875572737687</v>
      </c>
      <c r="E23" s="43"/>
      <c r="F23" s="43"/>
      <c r="G23" s="43"/>
      <c r="H23" s="43"/>
      <c r="I23" s="43"/>
      <c r="J23" s="43"/>
    </row>
    <row r="24" spans="1:10" ht="13.8" x14ac:dyDescent="0.25">
      <c r="A24" s="18" t="s">
        <v>51</v>
      </c>
      <c r="B24" s="21">
        <f>B25*0.25</f>
        <v>583004.6875</v>
      </c>
      <c r="C24" s="21">
        <f>C25*0.025</f>
        <v>3339.0875572737687</v>
      </c>
      <c r="D24" s="20"/>
      <c r="E24" s="43"/>
      <c r="F24" s="43"/>
      <c r="G24" s="43"/>
      <c r="H24" s="43"/>
      <c r="I24" s="43"/>
      <c r="J24" s="43"/>
    </row>
    <row r="25" spans="1:10" ht="13.8" x14ac:dyDescent="0.25">
      <c r="A25" s="18" t="s">
        <v>46</v>
      </c>
      <c r="B25" s="21">
        <f>B12</f>
        <v>2332018.75</v>
      </c>
      <c r="C25" s="21">
        <f>C12</f>
        <v>133563.50229095074</v>
      </c>
      <c r="E25" s="27"/>
      <c r="F25" s="27"/>
      <c r="G25" s="27"/>
      <c r="H25" s="27"/>
      <c r="I25" s="27"/>
      <c r="J25" s="27"/>
    </row>
    <row r="26" spans="1:10" ht="13.8" x14ac:dyDescent="0.25">
      <c r="E26" s="27"/>
      <c r="F26" s="27"/>
      <c r="G26" s="27"/>
      <c r="H26" s="27"/>
      <c r="I26" s="27"/>
      <c r="J26" s="27"/>
    </row>
    <row r="29" spans="1:10" x14ac:dyDescent="0.25">
      <c r="G29" s="38"/>
      <c r="H29" s="20"/>
    </row>
  </sheetData>
  <mergeCells count="8">
    <mergeCell ref="E21:J24"/>
    <mergeCell ref="E7:J20"/>
    <mergeCell ref="E6:J6"/>
    <mergeCell ref="E1:F1"/>
    <mergeCell ref="A1:C1"/>
    <mergeCell ref="A5:B5"/>
    <mergeCell ref="A9:C9"/>
    <mergeCell ref="A18:C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2023-05-26T00:29:43Z</dcterms:modified>
</cp:coreProperties>
</file>