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44" windowWidth="22980" windowHeight="9528"/>
  </bookViews>
  <sheets>
    <sheet name="SQLT0018" sheetId="1" r:id="rId1"/>
  </sheets>
  <calcPr calcId="0"/>
</workbook>
</file>

<file path=xl/calcChain.xml><?xml version="1.0" encoding="utf-8"?>
<calcChain xmlns="http://schemas.openxmlformats.org/spreadsheetml/2006/main">
  <c r="A1" i="1"/>
  <c r="B1"/>
  <c r="C1"/>
  <c r="D1"/>
  <c r="E1"/>
  <c r="F1"/>
  <c r="G1"/>
  <c r="H1"/>
  <c r="I1"/>
  <c r="J1"/>
  <c r="A2"/>
  <c r="B2"/>
  <c r="C2"/>
  <c r="D2"/>
  <c r="E2"/>
  <c r="F2"/>
  <c r="G2"/>
  <c r="H2"/>
  <c r="I2"/>
  <c r="J2"/>
  <c r="A3"/>
  <c r="B3"/>
  <c r="C3"/>
  <c r="D3"/>
  <c r="E3"/>
  <c r="F3"/>
  <c r="G3"/>
  <c r="H3"/>
  <c r="I3"/>
  <c r="J3"/>
  <c r="A4"/>
  <c r="B4"/>
  <c r="C4"/>
  <c r="D4"/>
  <c r="E4"/>
  <c r="F4"/>
  <c r="G4"/>
  <c r="H4"/>
  <c r="I4"/>
  <c r="J4"/>
  <c r="A5"/>
  <c r="B5"/>
  <c r="C5"/>
  <c r="D5"/>
  <c r="E5"/>
  <c r="F5"/>
  <c r="G5"/>
  <c r="H5"/>
  <c r="I5"/>
  <c r="J5"/>
  <c r="A6"/>
  <c r="B6"/>
  <c r="C6"/>
  <c r="D6"/>
  <c r="E6"/>
  <c r="F6"/>
  <c r="G6"/>
  <c r="H6"/>
  <c r="I6"/>
  <c r="J6"/>
  <c r="A7"/>
  <c r="B7"/>
  <c r="C7"/>
  <c r="D7"/>
  <c r="E7"/>
  <c r="F7"/>
  <c r="G7"/>
  <c r="H7"/>
  <c r="I7"/>
  <c r="J7"/>
  <c r="A8"/>
  <c r="B8"/>
  <c r="C8"/>
  <c r="D8"/>
  <c r="E8"/>
  <c r="F8"/>
  <c r="G8"/>
  <c r="H8"/>
  <c r="I8"/>
  <c r="J8"/>
  <c r="A9"/>
  <c r="B9"/>
  <c r="C9"/>
  <c r="D9"/>
  <c r="E9"/>
  <c r="F9"/>
  <c r="G9"/>
  <c r="H9"/>
  <c r="I9"/>
  <c r="J9"/>
  <c r="A10"/>
  <c r="B10"/>
  <c r="C10"/>
  <c r="D10"/>
  <c r="E10"/>
  <c r="F10"/>
  <c r="G10"/>
  <c r="H10"/>
  <c r="I10"/>
  <c r="J10"/>
  <c r="A11"/>
  <c r="B11"/>
  <c r="C11"/>
  <c r="D11"/>
  <c r="E11"/>
  <c r="F11"/>
  <c r="G11"/>
  <c r="H11"/>
  <c r="I11"/>
  <c r="J11"/>
  <c r="A12"/>
  <c r="B12"/>
  <c r="C12"/>
  <c r="D12"/>
  <c r="E12"/>
  <c r="F12"/>
  <c r="G12"/>
  <c r="H12"/>
  <c r="I12"/>
  <c r="J12"/>
  <c r="A13"/>
  <c r="B13"/>
  <c r="C13"/>
  <c r="D13"/>
  <c r="E13"/>
  <c r="F13"/>
  <c r="G13"/>
  <c r="H13"/>
  <c r="I13"/>
  <c r="J13"/>
  <c r="A14"/>
  <c r="B14"/>
  <c r="C14"/>
  <c r="D14"/>
  <c r="E14"/>
  <c r="F14"/>
  <c r="G14"/>
  <c r="H14"/>
  <c r="I14"/>
  <c r="J14"/>
  <c r="A15"/>
  <c r="B15"/>
  <c r="C15"/>
  <c r="D15"/>
  <c r="E15"/>
  <c r="F15"/>
  <c r="G15"/>
  <c r="H15"/>
  <c r="I15"/>
  <c r="J15"/>
  <c r="A16"/>
  <c r="B16"/>
  <c r="C16"/>
  <c r="D16"/>
  <c r="E16"/>
  <c r="F16"/>
  <c r="G16"/>
  <c r="H16"/>
  <c r="I16"/>
  <c r="J16"/>
  <c r="A17"/>
  <c r="B17"/>
  <c r="C17"/>
  <c r="D17"/>
  <c r="E17"/>
  <c r="F17"/>
  <c r="G17"/>
  <c r="H17"/>
  <c r="I17"/>
  <c r="J17"/>
  <c r="A18"/>
  <c r="B18"/>
  <c r="C18"/>
  <c r="D18"/>
  <c r="E18"/>
  <c r="F18"/>
  <c r="G18"/>
  <c r="H18"/>
  <c r="I18"/>
  <c r="J18"/>
  <c r="A19"/>
  <c r="B19"/>
  <c r="C19"/>
  <c r="D19"/>
  <c r="E19"/>
  <c r="F19"/>
  <c r="G19"/>
  <c r="H19"/>
  <c r="I19"/>
  <c r="J19"/>
  <c r="A20"/>
  <c r="B20"/>
  <c r="C20"/>
  <c r="D20"/>
  <c r="E20"/>
  <c r="F20"/>
  <c r="G20"/>
  <c r="H20"/>
  <c r="I20"/>
  <c r="J20"/>
  <c r="A21"/>
  <c r="B21"/>
  <c r="C21"/>
  <c r="D21"/>
  <c r="E21"/>
  <c r="F21"/>
  <c r="G21"/>
  <c r="H21"/>
  <c r="I21"/>
  <c r="J21"/>
  <c r="A22"/>
  <c r="B22"/>
  <c r="C22"/>
  <c r="D22"/>
  <c r="E22"/>
  <c r="F22"/>
  <c r="G22"/>
  <c r="H22"/>
  <c r="I22"/>
  <c r="J22"/>
  <c r="A23"/>
  <c r="B23"/>
  <c r="C23"/>
  <c r="D23"/>
  <c r="E23"/>
  <c r="F23"/>
  <c r="G23"/>
  <c r="H23"/>
  <c r="I23"/>
  <c r="J23"/>
  <c r="A24"/>
  <c r="B24"/>
  <c r="C24"/>
  <c r="D24"/>
  <c r="E24"/>
  <c r="F24"/>
  <c r="G24"/>
  <c r="H24"/>
  <c r="I24"/>
  <c r="J24"/>
  <c r="A25"/>
  <c r="B25"/>
  <c r="C25"/>
  <c r="D25"/>
  <c r="E25"/>
  <c r="F25"/>
  <c r="G25"/>
  <c r="H25"/>
  <c r="I25"/>
  <c r="J25"/>
  <c r="A26"/>
  <c r="B26"/>
  <c r="C26"/>
  <c r="D26"/>
  <c r="E26"/>
  <c r="F26"/>
  <c r="G26"/>
  <c r="H26"/>
  <c r="I26"/>
  <c r="J26"/>
  <c r="A27"/>
  <c r="B27"/>
  <c r="C27"/>
  <c r="D27"/>
  <c r="E27"/>
  <c r="F27"/>
  <c r="G27"/>
  <c r="H27"/>
  <c r="I27"/>
  <c r="J27"/>
  <c r="A28"/>
  <c r="B28"/>
  <c r="C28"/>
  <c r="D28"/>
  <c r="E28"/>
  <c r="F28"/>
  <c r="G28"/>
  <c r="H28"/>
  <c r="I28"/>
  <c r="J28"/>
  <c r="A29"/>
  <c r="B29"/>
  <c r="C29"/>
  <c r="D29"/>
  <c r="E29"/>
  <c r="F29"/>
  <c r="G29"/>
  <c r="H29"/>
  <c r="I29"/>
  <c r="J29"/>
  <c r="A30"/>
  <c r="B30"/>
  <c r="C30"/>
  <c r="D30"/>
  <c r="E30"/>
  <c r="F30"/>
  <c r="G30"/>
  <c r="H30"/>
  <c r="I30"/>
  <c r="J30"/>
  <c r="A31"/>
  <c r="B31"/>
  <c r="C31"/>
  <c r="D31"/>
  <c r="E31"/>
  <c r="F31"/>
  <c r="G31"/>
  <c r="H31"/>
  <c r="I31"/>
  <c r="J31"/>
  <c r="A32"/>
  <c r="B32"/>
  <c r="C32"/>
  <c r="D32"/>
  <c r="E32"/>
  <c r="F32"/>
  <c r="G32"/>
  <c r="H32"/>
  <c r="I32"/>
  <c r="J32"/>
  <c r="A33"/>
  <c r="B33"/>
  <c r="C33"/>
  <c r="D33"/>
  <c r="E33"/>
  <c r="F33"/>
  <c r="G33"/>
  <c r="H33"/>
  <c r="I33"/>
  <c r="J33"/>
  <c r="A34"/>
  <c r="B34"/>
  <c r="C34"/>
  <c r="D34"/>
  <c r="E34"/>
  <c r="F34"/>
  <c r="G34"/>
  <c r="H34"/>
  <c r="I34"/>
  <c r="J34"/>
  <c r="A35"/>
  <c r="B35"/>
  <c r="C35"/>
  <c r="D35"/>
  <c r="E35"/>
  <c r="F35"/>
  <c r="G35"/>
  <c r="H35"/>
  <c r="I35"/>
  <c r="J35"/>
  <c r="A36"/>
  <c r="B36"/>
  <c r="C36"/>
  <c r="D36"/>
  <c r="E36"/>
  <c r="F36"/>
  <c r="G36"/>
  <c r="H36"/>
  <c r="I36"/>
  <c r="J36"/>
  <c r="A37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A39"/>
  <c r="B39"/>
  <c r="C39"/>
  <c r="D39"/>
  <c r="E39"/>
  <c r="F39"/>
  <c r="G39"/>
  <c r="H39"/>
  <c r="I39"/>
  <c r="J39"/>
  <c r="A40"/>
  <c r="B40"/>
  <c r="C40"/>
  <c r="D40"/>
  <c r="E40"/>
  <c r="F40"/>
  <c r="G40"/>
  <c r="H40"/>
  <c r="I40"/>
  <c r="J40"/>
  <c r="A41"/>
  <c r="B41"/>
  <c r="C41"/>
  <c r="D41"/>
  <c r="E41"/>
  <c r="F41"/>
  <c r="G41"/>
  <c r="H41"/>
  <c r="I41"/>
  <c r="J41"/>
  <c r="A42"/>
  <c r="B42"/>
  <c r="C42"/>
  <c r="D42"/>
  <c r="E42"/>
  <c r="F42"/>
  <c r="G42"/>
  <c r="H42"/>
  <c r="I42"/>
  <c r="J42"/>
  <c r="A43"/>
  <c r="B43"/>
  <c r="C43"/>
  <c r="D43"/>
  <c r="E43"/>
  <c r="F43"/>
  <c r="G43"/>
  <c r="H43"/>
  <c r="I43"/>
  <c r="J43"/>
  <c r="A44"/>
  <c r="B44"/>
  <c r="C44"/>
  <c r="D44"/>
  <c r="E44"/>
  <c r="F44"/>
  <c r="G44"/>
  <c r="H44"/>
  <c r="I44"/>
  <c r="J44"/>
  <c r="A45"/>
  <c r="B45"/>
  <c r="C45"/>
  <c r="D45"/>
  <c r="E45"/>
  <c r="F45"/>
  <c r="G45"/>
  <c r="H45"/>
  <c r="I45"/>
  <c r="J45"/>
  <c r="A46"/>
  <c r="B46"/>
  <c r="C46"/>
  <c r="D46"/>
  <c r="E46"/>
  <c r="F46"/>
  <c r="G46"/>
  <c r="H46"/>
  <c r="I46"/>
  <c r="J46"/>
  <c r="A47"/>
  <c r="B47"/>
  <c r="C47"/>
  <c r="D47"/>
  <c r="E47"/>
  <c r="F47"/>
  <c r="G47"/>
  <c r="H47"/>
  <c r="I47"/>
  <c r="J47"/>
  <c r="A48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B50"/>
  <c r="C50"/>
  <c r="D50"/>
  <c r="E50"/>
  <c r="F50"/>
  <c r="G50"/>
  <c r="H50"/>
  <c r="I50"/>
  <c r="J50"/>
  <c r="A51"/>
  <c r="B51"/>
  <c r="C51"/>
  <c r="D51"/>
  <c r="E51"/>
  <c r="F51"/>
  <c r="G51"/>
  <c r="H51"/>
  <c r="I51"/>
  <c r="J51"/>
  <c r="A52"/>
  <c r="B52"/>
  <c r="C52"/>
  <c r="D52"/>
  <c r="E52"/>
  <c r="F52"/>
  <c r="G52"/>
  <c r="H52"/>
  <c r="I52"/>
  <c r="J52"/>
  <c r="A53"/>
  <c r="B53"/>
  <c r="C53"/>
  <c r="D53"/>
  <c r="E53"/>
  <c r="F53"/>
  <c r="G53"/>
  <c r="H53"/>
  <c r="I53"/>
  <c r="J53"/>
  <c r="A54"/>
  <c r="B54"/>
  <c r="C54"/>
  <c r="D54"/>
  <c r="E54"/>
  <c r="F54"/>
  <c r="G54"/>
  <c r="H54"/>
  <c r="I54"/>
  <c r="J54"/>
  <c r="A55"/>
  <c r="B55"/>
  <c r="C55"/>
  <c r="D55"/>
  <c r="E55"/>
  <c r="F55"/>
  <c r="G55"/>
  <c r="H55"/>
  <c r="I55"/>
  <c r="J55"/>
  <c r="A56"/>
  <c r="B56"/>
  <c r="C56"/>
  <c r="D56"/>
  <c r="E56"/>
  <c r="F56"/>
  <c r="G56"/>
  <c r="H56"/>
  <c r="I56"/>
  <c r="J56"/>
  <c r="A57"/>
  <c r="B57"/>
  <c r="C57"/>
  <c r="D57"/>
  <c r="E57"/>
  <c r="F57"/>
  <c r="G57"/>
  <c r="H57"/>
  <c r="I57"/>
  <c r="J57"/>
  <c r="A58"/>
  <c r="B58"/>
  <c r="C58"/>
  <c r="D58"/>
  <c r="E58"/>
  <c r="F58"/>
  <c r="G58"/>
  <c r="H58"/>
  <c r="I58"/>
  <c r="J58"/>
  <c r="A59"/>
  <c r="B59"/>
  <c r="C59"/>
  <c r="D59"/>
  <c r="E59"/>
  <c r="F59"/>
  <c r="G59"/>
  <c r="H59"/>
  <c r="I59"/>
  <c r="J59"/>
  <c r="A60"/>
  <c r="B60"/>
  <c r="C60"/>
  <c r="D60"/>
  <c r="E60"/>
  <c r="F60"/>
  <c r="G60"/>
  <c r="H60"/>
  <c r="I60"/>
  <c r="J60"/>
  <c r="A61"/>
  <c r="B61"/>
  <c r="C61"/>
  <c r="D61"/>
  <c r="E61"/>
  <c r="F61"/>
  <c r="G61"/>
  <c r="H61"/>
  <c r="I61"/>
  <c r="J61"/>
  <c r="A62"/>
  <c r="B62"/>
  <c r="C62"/>
  <c r="D62"/>
  <c r="E62"/>
  <c r="F62"/>
  <c r="G62"/>
  <c r="H62"/>
  <c r="I62"/>
  <c r="J62"/>
  <c r="A63"/>
  <c r="B63"/>
  <c r="C63"/>
  <c r="D63"/>
  <c r="E63"/>
  <c r="F63"/>
  <c r="G63"/>
  <c r="H63"/>
  <c r="I63"/>
  <c r="J63"/>
  <c r="A64"/>
  <c r="B64"/>
  <c r="C64"/>
  <c r="D64"/>
  <c r="E64"/>
  <c r="F64"/>
  <c r="G64"/>
  <c r="H64"/>
  <c r="I64"/>
  <c r="J64"/>
  <c r="A65"/>
  <c r="B65"/>
  <c r="C65"/>
  <c r="D65"/>
  <c r="E65"/>
  <c r="F65"/>
  <c r="G65"/>
  <c r="H65"/>
  <c r="I65"/>
  <c r="J65"/>
  <c r="A66"/>
  <c r="B66"/>
  <c r="C66"/>
  <c r="D66"/>
  <c r="E66"/>
  <c r="F66"/>
  <c r="G66"/>
  <c r="H66"/>
  <c r="I66"/>
  <c r="J66"/>
  <c r="A67"/>
  <c r="B67"/>
  <c r="C67"/>
  <c r="D67"/>
  <c r="E67"/>
  <c r="F67"/>
  <c r="G67"/>
  <c r="H67"/>
  <c r="I67"/>
  <c r="J67"/>
  <c r="A68"/>
  <c r="B68"/>
  <c r="C68"/>
  <c r="D68"/>
  <c r="E68"/>
  <c r="F68"/>
  <c r="G68"/>
  <c r="H68"/>
  <c r="I68"/>
  <c r="J68"/>
  <c r="A69"/>
  <c r="B69"/>
  <c r="C69"/>
  <c r="D69"/>
  <c r="E69"/>
  <c r="F69"/>
  <c r="G69"/>
  <c r="H69"/>
  <c r="I69"/>
  <c r="J69"/>
  <c r="A70"/>
  <c r="B70"/>
  <c r="C70"/>
  <c r="D70"/>
  <c r="E70"/>
  <c r="F70"/>
  <c r="G70"/>
  <c r="H70"/>
  <c r="I70"/>
  <c r="J70"/>
  <c r="A71"/>
  <c r="B71"/>
  <c r="C71"/>
  <c r="D71"/>
  <c r="E71"/>
  <c r="F71"/>
  <c r="G71"/>
  <c r="H71"/>
  <c r="I71"/>
  <c r="J71"/>
  <c r="A72"/>
  <c r="B72"/>
  <c r="C72"/>
  <c r="D72"/>
  <c r="E72"/>
  <c r="F72"/>
  <c r="G72"/>
  <c r="H72"/>
  <c r="I72"/>
  <c r="J72"/>
  <c r="A73"/>
  <c r="B73"/>
  <c r="C73"/>
  <c r="D73"/>
  <c r="E73"/>
  <c r="F73"/>
  <c r="G73"/>
  <c r="H73"/>
  <c r="I73"/>
  <c r="J73"/>
  <c r="A74"/>
  <c r="B74"/>
  <c r="C74"/>
  <c r="D74"/>
  <c r="E74"/>
  <c r="F74"/>
  <c r="G74"/>
  <c r="H74"/>
  <c r="I74"/>
  <c r="J74"/>
  <c r="A75"/>
  <c r="B75"/>
  <c r="C75"/>
  <c r="D75"/>
  <c r="E75"/>
  <c r="F75"/>
  <c r="G75"/>
  <c r="H75"/>
  <c r="I75"/>
  <c r="J75"/>
  <c r="A76"/>
  <c r="B76"/>
  <c r="C76"/>
  <c r="D76"/>
  <c r="E76"/>
  <c r="F76"/>
  <c r="G76"/>
  <c r="H76"/>
  <c r="I76"/>
  <c r="J76"/>
  <c r="A77"/>
  <c r="B77"/>
  <c r="C77"/>
  <c r="D77"/>
  <c r="E77"/>
  <c r="F77"/>
  <c r="G77"/>
  <c r="H77"/>
  <c r="I77"/>
  <c r="J77"/>
  <c r="A78"/>
  <c r="B78"/>
  <c r="C78"/>
  <c r="D78"/>
  <c r="E78"/>
  <c r="F78"/>
  <c r="G78"/>
  <c r="H78"/>
  <c r="I78"/>
  <c r="J78"/>
  <c r="A79"/>
  <c r="B79"/>
  <c r="C79"/>
  <c r="D79"/>
  <c r="E79"/>
  <c r="F79"/>
  <c r="G79"/>
  <c r="H79"/>
  <c r="I79"/>
  <c r="J79"/>
  <c r="A80"/>
  <c r="B80"/>
  <c r="C80"/>
  <c r="D80"/>
  <c r="E80"/>
  <c r="F80"/>
  <c r="G80"/>
  <c r="H80"/>
  <c r="I80"/>
  <c r="J80"/>
  <c r="A81"/>
  <c r="B81"/>
  <c r="C81"/>
  <c r="D81"/>
  <c r="E81"/>
  <c r="F81"/>
  <c r="G81"/>
  <c r="H81"/>
  <c r="I81"/>
  <c r="J81"/>
  <c r="A82"/>
  <c r="B82"/>
  <c r="C82"/>
  <c r="D82"/>
  <c r="E82"/>
  <c r="F82"/>
  <c r="G82"/>
  <c r="H82"/>
  <c r="I82"/>
  <c r="J82"/>
  <c r="A83"/>
  <c r="B83"/>
  <c r="C83"/>
  <c r="D83"/>
  <c r="E83"/>
  <c r="F83"/>
  <c r="G83"/>
  <c r="H83"/>
  <c r="I83"/>
  <c r="J83"/>
  <c r="A84"/>
  <c r="B84"/>
  <c r="C84"/>
  <c r="D84"/>
  <c r="E84"/>
  <c r="F84"/>
  <c r="G84"/>
  <c r="H84"/>
  <c r="I84"/>
  <c r="J84"/>
  <c r="A85"/>
  <c r="B85"/>
  <c r="C85"/>
  <c r="D85"/>
  <c r="E85"/>
  <c r="F85"/>
  <c r="G85"/>
  <c r="H85"/>
  <c r="I85"/>
  <c r="J85"/>
  <c r="A86"/>
  <c r="B86"/>
  <c r="C86"/>
  <c r="D86"/>
  <c r="E86"/>
  <c r="F86"/>
  <c r="G86"/>
  <c r="H86"/>
  <c r="I86"/>
  <c r="J86"/>
  <c r="A87"/>
  <c r="B87"/>
  <c r="C87"/>
  <c r="D87"/>
  <c r="E87"/>
  <c r="F87"/>
  <c r="G87"/>
  <c r="H87"/>
  <c r="I87"/>
  <c r="J87"/>
  <c r="A88"/>
  <c r="B88"/>
  <c r="C88"/>
  <c r="D88"/>
  <c r="E88"/>
  <c r="F88"/>
  <c r="G88"/>
  <c r="H88"/>
  <c r="I88"/>
  <c r="J88"/>
  <c r="A89"/>
  <c r="B89"/>
  <c r="C89"/>
  <c r="D89"/>
  <c r="E89"/>
  <c r="F89"/>
  <c r="G89"/>
  <c r="H89"/>
  <c r="I89"/>
  <c r="J89"/>
  <c r="A90"/>
  <c r="B90"/>
  <c r="C90"/>
  <c r="D90"/>
  <c r="E90"/>
  <c r="F90"/>
  <c r="G90"/>
  <c r="H90"/>
  <c r="I90"/>
  <c r="J90"/>
  <c r="A91"/>
  <c r="B91"/>
  <c r="C91"/>
  <c r="D91"/>
  <c r="E91"/>
  <c r="F91"/>
  <c r="G91"/>
  <c r="H91"/>
  <c r="I91"/>
  <c r="J91"/>
  <c r="A92"/>
  <c r="B92"/>
  <c r="C92"/>
  <c r="D92"/>
  <c r="E92"/>
  <c r="F92"/>
  <c r="G92"/>
  <c r="H92"/>
  <c r="I92"/>
  <c r="J92"/>
  <c r="A93"/>
  <c r="B93"/>
  <c r="C93"/>
  <c r="D93"/>
  <c r="E93"/>
  <c r="F93"/>
  <c r="G93"/>
  <c r="H93"/>
  <c r="I93"/>
  <c r="J93"/>
  <c r="A94"/>
  <c r="B94"/>
  <c r="C94"/>
  <c r="D94"/>
  <c r="E94"/>
  <c r="F94"/>
  <c r="G94"/>
  <c r="H94"/>
  <c r="I94"/>
  <c r="J94"/>
  <c r="A95"/>
  <c r="B95"/>
  <c r="C95"/>
  <c r="D95"/>
  <c r="E95"/>
  <c r="F95"/>
  <c r="G95"/>
  <c r="H95"/>
  <c r="I95"/>
  <c r="J95"/>
  <c r="A96"/>
  <c r="B96"/>
  <c r="C96"/>
  <c r="D96"/>
  <c r="E96"/>
  <c r="F96"/>
  <c r="G96"/>
  <c r="H96"/>
  <c r="I96"/>
  <c r="J96"/>
  <c r="A97"/>
  <c r="B97"/>
  <c r="C97"/>
  <c r="D97"/>
  <c r="E97"/>
  <c r="F97"/>
  <c r="G97"/>
  <c r="H97"/>
  <c r="I97"/>
  <c r="J97"/>
  <c r="A98"/>
  <c r="B98"/>
  <c r="C98"/>
  <c r="D98"/>
  <c r="E98"/>
  <c r="F98"/>
  <c r="G98"/>
  <c r="H98"/>
  <c r="I98"/>
  <c r="J98"/>
  <c r="A99"/>
  <c r="B99"/>
  <c r="C99"/>
  <c r="D99"/>
  <c r="E99"/>
  <c r="F99"/>
  <c r="G99"/>
  <c r="H99"/>
  <c r="I99"/>
  <c r="J99"/>
  <c r="A100"/>
  <c r="B100"/>
  <c r="C100"/>
  <c r="D100"/>
  <c r="E100"/>
  <c r="F100"/>
  <c r="G100"/>
  <c r="H100"/>
  <c r="I100"/>
  <c r="J100"/>
  <c r="A101"/>
  <c r="B101"/>
  <c r="C101"/>
  <c r="D101"/>
  <c r="E101"/>
  <c r="F101"/>
  <c r="G101"/>
  <c r="H101"/>
  <c r="I101"/>
  <c r="J101"/>
  <c r="A102"/>
  <c r="B102"/>
  <c r="C102"/>
  <c r="D102"/>
  <c r="E102"/>
  <c r="F102"/>
  <c r="G102"/>
  <c r="H102"/>
  <c r="I102"/>
  <c r="J102"/>
  <c r="A103"/>
  <c r="B103"/>
  <c r="C103"/>
  <c r="D103"/>
  <c r="E103"/>
  <c r="F103"/>
  <c r="G103"/>
  <c r="H103"/>
  <c r="I103"/>
  <c r="J103"/>
  <c r="A104"/>
  <c r="B104"/>
  <c r="C104"/>
  <c r="D104"/>
  <c r="E104"/>
  <c r="F104"/>
  <c r="G104"/>
  <c r="H104"/>
  <c r="I104"/>
  <c r="J104"/>
  <c r="A105"/>
  <c r="B105"/>
  <c r="C105"/>
  <c r="D105"/>
  <c r="E105"/>
  <c r="F105"/>
  <c r="G105"/>
  <c r="H105"/>
  <c r="I105"/>
  <c r="J105"/>
  <c r="A106"/>
  <c r="B106"/>
  <c r="C106"/>
  <c r="D106"/>
  <c r="E106"/>
  <c r="F106"/>
  <c r="G106"/>
  <c r="H106"/>
  <c r="I106"/>
  <c r="J106"/>
  <c r="A107"/>
  <c r="B107"/>
  <c r="C107"/>
  <c r="D107"/>
  <c r="E107"/>
  <c r="F107"/>
  <c r="G107"/>
  <c r="H107"/>
  <c r="I107"/>
  <c r="J107"/>
  <c r="A108"/>
  <c r="B108"/>
  <c r="C108"/>
  <c r="D108"/>
  <c r="E108"/>
  <c r="F108"/>
  <c r="G108"/>
  <c r="H108"/>
  <c r="I108"/>
  <c r="J108"/>
  <c r="A109"/>
  <c r="B109"/>
  <c r="C109"/>
  <c r="D109"/>
  <c r="E109"/>
  <c r="F109"/>
  <c r="G109"/>
  <c r="H109"/>
  <c r="I109"/>
  <c r="J109"/>
  <c r="A110"/>
  <c r="B110"/>
  <c r="C110"/>
  <c r="D110"/>
  <c r="E110"/>
  <c r="F110"/>
  <c r="G110"/>
  <c r="H110"/>
  <c r="I110"/>
  <c r="J110"/>
  <c r="A111"/>
  <c r="B111"/>
  <c r="C111"/>
  <c r="D111"/>
  <c r="E111"/>
  <c r="F111"/>
  <c r="G111"/>
  <c r="H111"/>
  <c r="I111"/>
  <c r="J111"/>
  <c r="A112"/>
  <c r="B112"/>
  <c r="C112"/>
  <c r="D112"/>
  <c r="E112"/>
  <c r="F112"/>
  <c r="G112"/>
  <c r="H112"/>
  <c r="I112"/>
  <c r="J112"/>
  <c r="A113"/>
  <c r="B113"/>
  <c r="C113"/>
  <c r="D113"/>
  <c r="E113"/>
  <c r="F113"/>
  <c r="G113"/>
  <c r="H113"/>
  <c r="I113"/>
  <c r="J113"/>
  <c r="A114"/>
  <c r="B114"/>
  <c r="C114"/>
  <c r="D114"/>
  <c r="E114"/>
  <c r="F114"/>
  <c r="G114"/>
  <c r="H114"/>
  <c r="I114"/>
  <c r="J114"/>
  <c r="A115"/>
  <c r="B115"/>
  <c r="C115"/>
  <c r="D115"/>
  <c r="E115"/>
  <c r="F115"/>
  <c r="G115"/>
  <c r="H115"/>
  <c r="I115"/>
  <c r="J115"/>
  <c r="A116"/>
  <c r="B116"/>
  <c r="C116"/>
  <c r="D116"/>
  <c r="E116"/>
  <c r="F116"/>
  <c r="G116"/>
  <c r="H116"/>
  <c r="I116"/>
  <c r="J116"/>
  <c r="A117"/>
  <c r="B117"/>
  <c r="C117"/>
  <c r="D117"/>
  <c r="E117"/>
  <c r="F117"/>
  <c r="G117"/>
  <c r="H117"/>
  <c r="I117"/>
  <c r="J117"/>
  <c r="A118"/>
  <c r="B118"/>
  <c r="C118"/>
  <c r="D118"/>
  <c r="E118"/>
  <c r="F118"/>
  <c r="G118"/>
  <c r="H118"/>
  <c r="I118"/>
  <c r="J118"/>
  <c r="A119"/>
  <c r="B119"/>
  <c r="C119"/>
  <c r="D119"/>
  <c r="E119"/>
  <c r="F119"/>
  <c r="G119"/>
  <c r="H119"/>
  <c r="I119"/>
  <c r="J119"/>
  <c r="A120"/>
  <c r="B120"/>
  <c r="C120"/>
  <c r="D120"/>
  <c r="E120"/>
  <c r="F120"/>
  <c r="G120"/>
  <c r="H120"/>
  <c r="I120"/>
  <c r="J120"/>
  <c r="A121"/>
  <c r="B121"/>
  <c r="C121"/>
  <c r="D121"/>
  <c r="E121"/>
  <c r="F121"/>
  <c r="G121"/>
  <c r="H121"/>
  <c r="I121"/>
  <c r="J121"/>
  <c r="A122"/>
  <c r="B122"/>
  <c r="C122"/>
  <c r="D122"/>
  <c r="E122"/>
  <c r="F122"/>
  <c r="G122"/>
  <c r="H122"/>
  <c r="I122"/>
  <c r="J122"/>
  <c r="A123"/>
  <c r="B123"/>
  <c r="C123"/>
  <c r="D123"/>
  <c r="E123"/>
  <c r="F123"/>
  <c r="G123"/>
  <c r="H123"/>
  <c r="I123"/>
  <c r="J123"/>
  <c r="A124"/>
  <c r="B124"/>
  <c r="C124"/>
  <c r="D124"/>
  <c r="E124"/>
  <c r="F124"/>
  <c r="G124"/>
  <c r="H124"/>
  <c r="I124"/>
  <c r="J124"/>
  <c r="A125"/>
  <c r="B125"/>
  <c r="C125"/>
  <c r="D125"/>
  <c r="E125"/>
  <c r="F125"/>
  <c r="G125"/>
  <c r="H125"/>
  <c r="I125"/>
  <c r="J125"/>
  <c r="A126"/>
  <c r="B126"/>
  <c r="C126"/>
  <c r="D126"/>
  <c r="E126"/>
  <c r="F126"/>
  <c r="G126"/>
  <c r="H126"/>
  <c r="I126"/>
  <c r="J126"/>
  <c r="A127"/>
  <c r="B127"/>
  <c r="C127"/>
  <c r="D127"/>
  <c r="E127"/>
  <c r="F127"/>
  <c r="G127"/>
  <c r="H127"/>
  <c r="I127"/>
  <c r="J127"/>
  <c r="A128"/>
  <c r="B128"/>
  <c r="C128"/>
  <c r="D128"/>
  <c r="E128"/>
  <c r="F128"/>
  <c r="G128"/>
  <c r="H128"/>
  <c r="I128"/>
  <c r="J128"/>
  <c r="A129"/>
  <c r="B129"/>
  <c r="C129"/>
  <c r="D129"/>
  <c r="E129"/>
  <c r="F129"/>
  <c r="G129"/>
  <c r="H129"/>
  <c r="I129"/>
  <c r="J129"/>
  <c r="A130"/>
  <c r="B130"/>
  <c r="C130"/>
  <c r="D130"/>
  <c r="E130"/>
  <c r="F130"/>
  <c r="G130"/>
  <c r="H130"/>
  <c r="I130"/>
  <c r="J130"/>
  <c r="A131"/>
  <c r="B131"/>
  <c r="C131"/>
  <c r="D131"/>
  <c r="E131"/>
  <c r="F131"/>
  <c r="G131"/>
  <c r="H131"/>
  <c r="I131"/>
  <c r="J131"/>
  <c r="A132"/>
  <c r="B132"/>
  <c r="C132"/>
  <c r="D132"/>
  <c r="E132"/>
  <c r="F132"/>
  <c r="G132"/>
  <c r="H132"/>
  <c r="I132"/>
  <c r="J132"/>
  <c r="A133"/>
  <c r="B133"/>
  <c r="C133"/>
  <c r="D133"/>
  <c r="E133"/>
  <c r="F133"/>
  <c r="G133"/>
  <c r="H133"/>
  <c r="I133"/>
  <c r="J133"/>
  <c r="A134"/>
  <c r="B134"/>
  <c r="C134"/>
  <c r="D134"/>
  <c r="E134"/>
  <c r="F134"/>
  <c r="G134"/>
  <c r="H134"/>
  <c r="I134"/>
  <c r="J134"/>
  <c r="A135"/>
  <c r="B135"/>
  <c r="C135"/>
  <c r="D135"/>
  <c r="E135"/>
  <c r="F135"/>
  <c r="G135"/>
  <c r="H135"/>
  <c r="I135"/>
  <c r="J135"/>
  <c r="A136"/>
  <c r="B136"/>
  <c r="C136"/>
  <c r="D136"/>
  <c r="E136"/>
  <c r="F136"/>
  <c r="G136"/>
  <c r="H136"/>
  <c r="I136"/>
  <c r="J136"/>
  <c r="A137"/>
  <c r="B137"/>
  <c r="C137"/>
  <c r="D137"/>
  <c r="E137"/>
  <c r="F137"/>
  <c r="G137"/>
  <c r="H137"/>
  <c r="I137"/>
  <c r="J137"/>
  <c r="A138"/>
  <c r="B138"/>
  <c r="C138"/>
  <c r="D138"/>
  <c r="E138"/>
  <c r="F138"/>
  <c r="G138"/>
  <c r="H138"/>
  <c r="I138"/>
  <c r="J138"/>
  <c r="A139"/>
  <c r="B139"/>
  <c r="C139"/>
  <c r="D139"/>
  <c r="E139"/>
  <c r="F139"/>
  <c r="G139"/>
  <c r="H139"/>
  <c r="I139"/>
  <c r="J139"/>
  <c r="A140"/>
  <c r="B140"/>
  <c r="C140"/>
  <c r="D140"/>
  <c r="E140"/>
  <c r="F140"/>
  <c r="G140"/>
  <c r="H140"/>
  <c r="I140"/>
  <c r="J140"/>
  <c r="A141"/>
  <c r="B141"/>
  <c r="C141"/>
  <c r="D141"/>
  <c r="E141"/>
  <c r="F141"/>
  <c r="G141"/>
  <c r="H141"/>
  <c r="I141"/>
  <c r="J141"/>
  <c r="A142"/>
  <c r="B142"/>
  <c r="C142"/>
  <c r="D142"/>
  <c r="E142"/>
  <c r="F142"/>
  <c r="G142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H151"/>
  <c r="I151"/>
  <c r="J151"/>
  <c r="A152"/>
  <c r="B152"/>
  <c r="C152"/>
  <c r="D152"/>
  <c r="E152"/>
  <c r="F152"/>
  <c r="G152"/>
  <c r="H152"/>
  <c r="I152"/>
  <c r="J152"/>
  <c r="A153"/>
  <c r="B153"/>
  <c r="C153"/>
  <c r="D153"/>
  <c r="E153"/>
  <c r="F153"/>
  <c r="G153"/>
  <c r="H153"/>
  <c r="I153"/>
  <c r="J153"/>
  <c r="A154"/>
  <c r="B154"/>
  <c r="C154"/>
  <c r="D154"/>
  <c r="E154"/>
  <c r="F154"/>
  <c r="G154"/>
  <c r="H154"/>
  <c r="I154"/>
  <c r="J154"/>
  <c r="A155"/>
  <c r="B155"/>
  <c r="C155"/>
  <c r="D155"/>
  <c r="E155"/>
  <c r="F155"/>
  <c r="G155"/>
  <c r="H155"/>
  <c r="I155"/>
  <c r="J155"/>
  <c r="A156"/>
  <c r="B156"/>
  <c r="C156"/>
  <c r="D156"/>
  <c r="E156"/>
  <c r="F156"/>
  <c r="G156"/>
  <c r="H156"/>
  <c r="I156"/>
  <c r="J156"/>
  <c r="A157"/>
  <c r="B157"/>
  <c r="C157"/>
  <c r="D157"/>
  <c r="E157"/>
  <c r="F157"/>
  <c r="G157"/>
  <c r="H157"/>
  <c r="I157"/>
  <c r="J157"/>
  <c r="A158"/>
  <c r="B158"/>
  <c r="C158"/>
  <c r="D158"/>
  <c r="E158"/>
  <c r="F158"/>
  <c r="G158"/>
  <c r="H158"/>
  <c r="I158"/>
  <c r="J158"/>
  <c r="A159"/>
  <c r="B159"/>
  <c r="C159"/>
  <c r="D159"/>
  <c r="E159"/>
  <c r="F159"/>
  <c r="G159"/>
  <c r="H159"/>
  <c r="I159"/>
  <c r="J159"/>
  <c r="A160"/>
  <c r="B160"/>
  <c r="C160"/>
  <c r="D160"/>
  <c r="E160"/>
  <c r="F160"/>
  <c r="G160"/>
  <c r="H160"/>
  <c r="I160"/>
  <c r="J160"/>
  <c r="A161"/>
  <c r="B161"/>
  <c r="C161"/>
  <c r="D161"/>
  <c r="E161"/>
  <c r="F161"/>
  <c r="G161"/>
  <c r="H161"/>
  <c r="I161"/>
  <c r="J161"/>
  <c r="A162"/>
  <c r="B162"/>
  <c r="C162"/>
  <c r="D162"/>
  <c r="E162"/>
  <c r="F162"/>
  <c r="G162"/>
  <c r="H162"/>
  <c r="I162"/>
  <c r="J162"/>
  <c r="A163"/>
  <c r="B163"/>
  <c r="C163"/>
  <c r="D163"/>
  <c r="E163"/>
  <c r="F163"/>
  <c r="G163"/>
  <c r="H163"/>
  <c r="I163"/>
  <c r="J163"/>
  <c r="A164"/>
  <c r="B164"/>
  <c r="C164"/>
  <c r="D164"/>
  <c r="E164"/>
  <c r="F164"/>
  <c r="G164"/>
  <c r="H164"/>
  <c r="I164"/>
  <c r="J164"/>
  <c r="A165"/>
  <c r="B165"/>
  <c r="C165"/>
  <c r="D165"/>
  <c r="E165"/>
  <c r="F165"/>
  <c r="G165"/>
  <c r="H165"/>
  <c r="I165"/>
  <c r="J165"/>
  <c r="A166"/>
  <c r="B166"/>
  <c r="C166"/>
  <c r="D166"/>
  <c r="E166"/>
  <c r="F166"/>
  <c r="G166"/>
  <c r="H166"/>
  <c r="I166"/>
  <c r="J166"/>
  <c r="A167"/>
  <c r="B167"/>
  <c r="C167"/>
  <c r="D167"/>
  <c r="E167"/>
  <c r="F167"/>
  <c r="G167"/>
  <c r="H167"/>
  <c r="I167"/>
  <c r="J167"/>
  <c r="A168"/>
  <c r="B168"/>
  <c r="C168"/>
  <c r="D168"/>
  <c r="E168"/>
  <c r="F168"/>
  <c r="G168"/>
  <c r="H168"/>
  <c r="I168"/>
  <c r="J168"/>
  <c r="A169"/>
  <c r="B169"/>
  <c r="C169"/>
  <c r="D169"/>
  <c r="E169"/>
  <c r="F169"/>
  <c r="G169"/>
  <c r="H169"/>
  <c r="I169"/>
  <c r="J169"/>
  <c r="A170"/>
  <c r="B170"/>
  <c r="C170"/>
  <c r="D170"/>
  <c r="E170"/>
  <c r="F170"/>
  <c r="G170"/>
  <c r="H170"/>
  <c r="I170"/>
  <c r="J170"/>
  <c r="A171"/>
  <c r="B171"/>
  <c r="C171"/>
  <c r="D171"/>
  <c r="E171"/>
  <c r="F171"/>
  <c r="G171"/>
  <c r="H171"/>
  <c r="I171"/>
  <c r="J171"/>
  <c r="A172"/>
  <c r="B172"/>
  <c r="C172"/>
  <c r="D172"/>
  <c r="E172"/>
  <c r="F172"/>
  <c r="G172"/>
  <c r="H172"/>
  <c r="I172"/>
  <c r="J172"/>
  <c r="A173"/>
  <c r="B173"/>
  <c r="C173"/>
  <c r="D173"/>
  <c r="E173"/>
  <c r="F173"/>
  <c r="G173"/>
  <c r="H173"/>
  <c r="I173"/>
  <c r="J173"/>
  <c r="A174"/>
  <c r="B174"/>
  <c r="C174"/>
  <c r="D174"/>
  <c r="E174"/>
  <c r="F174"/>
  <c r="G174"/>
  <c r="H174"/>
  <c r="I174"/>
  <c r="J174"/>
  <c r="A175"/>
  <c r="B175"/>
  <c r="C175"/>
  <c r="D175"/>
  <c r="E175"/>
  <c r="F175"/>
  <c r="G175"/>
  <c r="H175"/>
  <c r="I175"/>
  <c r="J175"/>
  <c r="A176"/>
  <c r="B176"/>
  <c r="C176"/>
  <c r="D176"/>
  <c r="E176"/>
  <c r="F176"/>
  <c r="G176"/>
  <c r="H176"/>
  <c r="I176"/>
  <c r="J176"/>
  <c r="A177"/>
  <c r="B177"/>
  <c r="C177"/>
  <c r="D177"/>
  <c r="E177"/>
  <c r="F177"/>
  <c r="G177"/>
  <c r="H177"/>
  <c r="I177"/>
  <c r="J177"/>
  <c r="A178"/>
  <c r="B178"/>
  <c r="C178"/>
  <c r="D178"/>
  <c r="E178"/>
  <c r="F178"/>
  <c r="G178"/>
  <c r="H178"/>
  <c r="I178"/>
  <c r="J178"/>
  <c r="A179"/>
  <c r="B179"/>
  <c r="C179"/>
  <c r="D179"/>
  <c r="E179"/>
  <c r="F179"/>
  <c r="G179"/>
  <c r="H179"/>
  <c r="I179"/>
  <c r="J179"/>
  <c r="A180"/>
  <c r="B180"/>
  <c r="C180"/>
  <c r="D180"/>
  <c r="E180"/>
  <c r="F180"/>
  <c r="G180"/>
  <c r="H180"/>
  <c r="I180"/>
  <c r="J180"/>
  <c r="A181"/>
  <c r="B181"/>
  <c r="C181"/>
  <c r="D181"/>
  <c r="E181"/>
  <c r="F181"/>
  <c r="G181"/>
  <c r="H181"/>
  <c r="I181"/>
  <c r="J181"/>
  <c r="A182"/>
  <c r="B182"/>
  <c r="C182"/>
  <c r="D182"/>
  <c r="E182"/>
  <c r="F182"/>
  <c r="H182"/>
  <c r="I182"/>
  <c r="J182"/>
  <c r="A183"/>
  <c r="B183"/>
  <c r="C183"/>
  <c r="D183"/>
  <c r="E183"/>
  <c r="F183"/>
  <c r="G183"/>
  <c r="H183"/>
  <c r="I183"/>
  <c r="J183"/>
  <c r="A184"/>
  <c r="B184"/>
  <c r="C184"/>
  <c r="D184"/>
  <c r="E184"/>
  <c r="F184"/>
  <c r="G184"/>
  <c r="H184"/>
  <c r="I184"/>
  <c r="J184"/>
  <c r="A185"/>
  <c r="B185"/>
  <c r="C185"/>
  <c r="D185"/>
  <c r="E185"/>
  <c r="F185"/>
  <c r="G185"/>
  <c r="H185"/>
  <c r="I185"/>
  <c r="J185"/>
  <c r="A186"/>
  <c r="B186"/>
  <c r="C186"/>
  <c r="D186"/>
  <c r="E186"/>
  <c r="F186"/>
  <c r="H186"/>
  <c r="I186"/>
  <c r="J186"/>
  <c r="A187"/>
  <c r="B187"/>
  <c r="C187"/>
  <c r="D187"/>
  <c r="E187"/>
  <c r="F187"/>
  <c r="G187"/>
  <c r="H187"/>
  <c r="I187"/>
  <c r="J187"/>
  <c r="A188"/>
  <c r="B188"/>
  <c r="C188"/>
  <c r="D188"/>
  <c r="E188"/>
  <c r="F188"/>
  <c r="G188"/>
  <c r="H188"/>
  <c r="I188"/>
  <c r="J188"/>
  <c r="A189"/>
  <c r="B189"/>
  <c r="C189"/>
  <c r="D189"/>
  <c r="E189"/>
  <c r="F189"/>
  <c r="G189"/>
  <c r="H189"/>
  <c r="I189"/>
  <c r="J189"/>
  <c r="A190"/>
  <c r="B190"/>
  <c r="C190"/>
  <c r="D190"/>
  <c r="E190"/>
  <c r="F190"/>
  <c r="G190"/>
  <c r="H190"/>
  <c r="I190"/>
  <c r="J190"/>
  <c r="A191"/>
  <c r="B191"/>
  <c r="C191"/>
  <c r="D191"/>
  <c r="E191"/>
  <c r="F191"/>
  <c r="G191"/>
  <c r="H191"/>
  <c r="I191"/>
  <c r="J191"/>
  <c r="A192"/>
  <c r="B192"/>
  <c r="C192"/>
  <c r="D192"/>
  <c r="E192"/>
  <c r="F192"/>
  <c r="G192"/>
  <c r="H192"/>
  <c r="I192"/>
  <c r="J192"/>
  <c r="A193"/>
  <c r="B193"/>
  <c r="C193"/>
  <c r="D193"/>
  <c r="E193"/>
  <c r="F193"/>
  <c r="G193"/>
  <c r="H193"/>
  <c r="I193"/>
  <c r="J193"/>
  <c r="A194"/>
  <c r="B194"/>
  <c r="C194"/>
  <c r="D194"/>
  <c r="E194"/>
  <c r="F194"/>
  <c r="G194"/>
  <c r="H194"/>
  <c r="I194"/>
  <c r="J194"/>
  <c r="A195"/>
  <c r="B195"/>
  <c r="C195"/>
  <c r="D195"/>
  <c r="E195"/>
  <c r="F195"/>
  <c r="G195"/>
  <c r="H195"/>
  <c r="I195"/>
  <c r="J195"/>
  <c r="A196"/>
  <c r="B196"/>
  <c r="C196"/>
  <c r="D196"/>
  <c r="E196"/>
  <c r="F196"/>
  <c r="G196"/>
  <c r="H196"/>
  <c r="I196"/>
  <c r="J196"/>
  <c r="A197"/>
  <c r="B197"/>
  <c r="C197"/>
  <c r="D197"/>
  <c r="E197"/>
  <c r="F197"/>
  <c r="G197"/>
  <c r="H197"/>
  <c r="I197"/>
  <c r="J197"/>
  <c r="A198"/>
  <c r="B198"/>
  <c r="C198"/>
  <c r="D198"/>
  <c r="E198"/>
  <c r="F198"/>
  <c r="G198"/>
  <c r="H198"/>
  <c r="I198"/>
  <c r="J198"/>
  <c r="A199"/>
  <c r="B199"/>
  <c r="C199"/>
  <c r="D199"/>
  <c r="E199"/>
  <c r="F199"/>
  <c r="G199"/>
  <c r="H199"/>
  <c r="I199"/>
  <c r="J199"/>
  <c r="A200"/>
  <c r="B200"/>
  <c r="C200"/>
  <c r="D200"/>
  <c r="E200"/>
  <c r="F200"/>
  <c r="G200"/>
  <c r="H200"/>
  <c r="I200"/>
  <c r="J200"/>
  <c r="A201"/>
  <c r="B201"/>
  <c r="C201"/>
  <c r="D201"/>
  <c r="E201"/>
  <c r="F201"/>
  <c r="G201"/>
  <c r="H201"/>
  <c r="I201"/>
  <c r="J201"/>
  <c r="A202"/>
  <c r="B202"/>
  <c r="C202"/>
  <c r="D202"/>
  <c r="E202"/>
  <c r="F202"/>
  <c r="G202"/>
  <c r="H202"/>
  <c r="I202"/>
  <c r="J202"/>
  <c r="A203"/>
  <c r="B203"/>
  <c r="C203"/>
  <c r="D203"/>
  <c r="E203"/>
  <c r="F203"/>
  <c r="G203"/>
  <c r="H203"/>
  <c r="I203"/>
  <c r="J203"/>
  <c r="A204"/>
  <c r="B204"/>
  <c r="C204"/>
  <c r="D204"/>
  <c r="E204"/>
  <c r="F204"/>
  <c r="G204"/>
  <c r="H204"/>
  <c r="I204"/>
  <c r="J204"/>
  <c r="A205"/>
  <c r="B205"/>
  <c r="C205"/>
  <c r="D205"/>
  <c r="E205"/>
  <c r="F205"/>
  <c r="G205"/>
  <c r="H205"/>
  <c r="I205"/>
  <c r="J205"/>
  <c r="A206"/>
  <c r="B206"/>
  <c r="C206"/>
  <c r="D206"/>
  <c r="E206"/>
  <c r="F206"/>
  <c r="G206"/>
  <c r="H206"/>
  <c r="I206"/>
  <c r="J206"/>
  <c r="A207"/>
  <c r="B207"/>
  <c r="C207"/>
  <c r="D207"/>
  <c r="E207"/>
  <c r="F207"/>
  <c r="G207"/>
  <c r="H207"/>
  <c r="I207"/>
  <c r="J207"/>
  <c r="A208"/>
  <c r="B208"/>
  <c r="C208"/>
  <c r="D208"/>
  <c r="E208"/>
  <c r="F208"/>
  <c r="G208"/>
  <c r="H208"/>
  <c r="I208"/>
  <c r="J208"/>
  <c r="A209"/>
  <c r="B209"/>
  <c r="C209"/>
  <c r="D209"/>
  <c r="E209"/>
  <c r="F209"/>
  <c r="G209"/>
  <c r="H209"/>
  <c r="I209"/>
  <c r="J209"/>
  <c r="A210"/>
  <c r="B210"/>
  <c r="C210"/>
  <c r="D210"/>
  <c r="E210"/>
  <c r="F210"/>
  <c r="G210"/>
  <c r="H210"/>
  <c r="I210"/>
  <c r="J210"/>
  <c r="A211"/>
  <c r="B211"/>
  <c r="C211"/>
  <c r="D211"/>
  <c r="E211"/>
  <c r="F211"/>
  <c r="G211"/>
  <c r="H211"/>
  <c r="I211"/>
  <c r="J211"/>
  <c r="A212"/>
  <c r="B212"/>
  <c r="C212"/>
  <c r="D212"/>
  <c r="E212"/>
  <c r="F212"/>
  <c r="G212"/>
  <c r="H212"/>
  <c r="I212"/>
  <c r="J212"/>
  <c r="A213"/>
  <c r="B213"/>
  <c r="C213"/>
  <c r="D213"/>
  <c r="E213"/>
  <c r="F213"/>
  <c r="G213"/>
  <c r="H213"/>
  <c r="I213"/>
  <c r="J213"/>
  <c r="A214"/>
  <c r="B214"/>
  <c r="C214"/>
  <c r="D214"/>
  <c r="E214"/>
  <c r="F214"/>
  <c r="G214"/>
  <c r="H214"/>
  <c r="I214"/>
  <c r="J214"/>
  <c r="A215"/>
  <c r="B215"/>
  <c r="C215"/>
  <c r="D215"/>
  <c r="E215"/>
  <c r="F215"/>
  <c r="G215"/>
  <c r="H215"/>
  <c r="I215"/>
  <c r="J215"/>
  <c r="A216"/>
  <c r="B216"/>
  <c r="C216"/>
  <c r="D216"/>
  <c r="E216"/>
  <c r="F216"/>
  <c r="G216"/>
  <c r="H216"/>
  <c r="I216"/>
  <c r="J216"/>
  <c r="A217"/>
  <c r="B217"/>
  <c r="C217"/>
  <c r="D217"/>
  <c r="E217"/>
  <c r="F217"/>
  <c r="G217"/>
  <c r="H217"/>
  <c r="I217"/>
  <c r="J217"/>
  <c r="A218"/>
  <c r="B218"/>
  <c r="C218"/>
  <c r="D218"/>
  <c r="E218"/>
  <c r="F218"/>
  <c r="G218"/>
  <c r="H218"/>
  <c r="I218"/>
  <c r="J218"/>
  <c r="A219"/>
  <c r="B219"/>
  <c r="C219"/>
  <c r="D219"/>
  <c r="E219"/>
  <c r="F219"/>
  <c r="G219"/>
  <c r="H219"/>
  <c r="I219"/>
  <c r="J219"/>
  <c r="A220"/>
  <c r="B220"/>
  <c r="C220"/>
  <c r="D220"/>
  <c r="E220"/>
  <c r="F220"/>
  <c r="G220"/>
  <c r="H220"/>
  <c r="I220"/>
  <c r="J220"/>
  <c r="A221"/>
  <c r="B221"/>
  <c r="C221"/>
  <c r="D221"/>
  <c r="E221"/>
  <c r="F221"/>
  <c r="G221"/>
  <c r="H221"/>
  <c r="I221"/>
  <c r="J221"/>
  <c r="A222"/>
  <c r="B222"/>
  <c r="C222"/>
  <c r="D222"/>
  <c r="E222"/>
  <c r="F222"/>
  <c r="G222"/>
  <c r="H222"/>
  <c r="I222"/>
  <c r="J222"/>
  <c r="A223"/>
  <c r="B223"/>
  <c r="C223"/>
  <c r="D223"/>
  <c r="E223"/>
  <c r="F223"/>
  <c r="G223"/>
  <c r="H223"/>
  <c r="I223"/>
  <c r="J223"/>
  <c r="A224"/>
  <c r="B224"/>
  <c r="C224"/>
  <c r="D224"/>
  <c r="E224"/>
  <c r="F224"/>
  <c r="G224"/>
  <c r="H224"/>
  <c r="I224"/>
  <c r="J224"/>
  <c r="A225"/>
  <c r="B225"/>
  <c r="C225"/>
  <c r="D225"/>
  <c r="E225"/>
  <c r="F225"/>
  <c r="G225"/>
  <c r="H225"/>
  <c r="I225"/>
  <c r="J225"/>
  <c r="A226"/>
  <c r="B226"/>
  <c r="C226"/>
  <c r="D226"/>
  <c r="E226"/>
  <c r="F226"/>
  <c r="G226"/>
  <c r="H226"/>
  <c r="I226"/>
  <c r="J226"/>
  <c r="A227"/>
  <c r="B227"/>
  <c r="C227"/>
  <c r="D227"/>
  <c r="E227"/>
  <c r="F227"/>
  <c r="G227"/>
  <c r="H227"/>
  <c r="I227"/>
  <c r="J227"/>
  <c r="A228"/>
  <c r="B228"/>
  <c r="C228"/>
  <c r="D228"/>
  <c r="E228"/>
  <c r="F228"/>
  <c r="G228"/>
  <c r="H228"/>
  <c r="I228"/>
  <c r="J228"/>
  <c r="A229"/>
  <c r="B229"/>
  <c r="C229"/>
  <c r="D229"/>
  <c r="E229"/>
  <c r="F229"/>
  <c r="G229"/>
  <c r="H229"/>
  <c r="I229"/>
  <c r="J229"/>
  <c r="A230"/>
  <c r="B230"/>
  <c r="C230"/>
  <c r="D230"/>
  <c r="E230"/>
  <c r="F230"/>
  <c r="G230"/>
  <c r="H230"/>
  <c r="I230"/>
  <c r="J230"/>
  <c r="A231"/>
  <c r="B231"/>
  <c r="C231"/>
  <c r="D231"/>
  <c r="E231"/>
  <c r="F231"/>
  <c r="G231"/>
  <c r="H231"/>
  <c r="I231"/>
  <c r="J231"/>
  <c r="A232"/>
  <c r="B232"/>
  <c r="C232"/>
  <c r="D232"/>
  <c r="E232"/>
  <c r="F232"/>
  <c r="G232"/>
  <c r="H232"/>
  <c r="I232"/>
  <c r="J232"/>
  <c r="A233"/>
  <c r="B233"/>
  <c r="C233"/>
  <c r="D233"/>
  <c r="E233"/>
  <c r="F233"/>
  <c r="G233"/>
  <c r="H233"/>
  <c r="I233"/>
  <c r="J233"/>
  <c r="A234"/>
  <c r="B234"/>
  <c r="C234"/>
  <c r="D234"/>
  <c r="E234"/>
  <c r="F234"/>
  <c r="G234"/>
  <c r="H234"/>
  <c r="I234"/>
  <c r="J234"/>
  <c r="A235"/>
  <c r="B235"/>
  <c r="C235"/>
  <c r="D235"/>
  <c r="E235"/>
  <c r="F235"/>
  <c r="G235"/>
  <c r="H235"/>
  <c r="I235"/>
  <c r="J235"/>
  <c r="A236"/>
  <c r="B236"/>
  <c r="C236"/>
  <c r="D236"/>
  <c r="E236"/>
  <c r="F236"/>
  <c r="G236"/>
  <c r="H236"/>
  <c r="I236"/>
  <c r="J236"/>
  <c r="A237"/>
  <c r="B237"/>
  <c r="C237"/>
  <c r="D237"/>
  <c r="E237"/>
  <c r="F237"/>
  <c r="G237"/>
  <c r="H237"/>
  <c r="I237"/>
  <c r="J237"/>
  <c r="A238"/>
  <c r="B238"/>
  <c r="C238"/>
  <c r="D238"/>
  <c r="E238"/>
  <c r="F238"/>
  <c r="G238"/>
  <c r="H238"/>
  <c r="I238"/>
  <c r="J238"/>
  <c r="A239"/>
  <c r="B239"/>
  <c r="C239"/>
  <c r="D239"/>
  <c r="E239"/>
  <c r="F239"/>
  <c r="G239"/>
  <c r="H239"/>
  <c r="I239"/>
  <c r="J239"/>
  <c r="A240"/>
  <c r="B240"/>
  <c r="C240"/>
  <c r="D240"/>
  <c r="E240"/>
  <c r="F240"/>
  <c r="G240"/>
  <c r="H240"/>
  <c r="I240"/>
  <c r="J240"/>
  <c r="A241"/>
  <c r="B241"/>
  <c r="C241"/>
  <c r="D241"/>
  <c r="E241"/>
  <c r="F241"/>
  <c r="G241"/>
  <c r="H241"/>
  <c r="I241"/>
  <c r="J241"/>
  <c r="A242"/>
  <c r="B242"/>
  <c r="C242"/>
  <c r="D242"/>
  <c r="E242"/>
  <c r="F242"/>
  <c r="G242"/>
  <c r="H242"/>
  <c r="I242"/>
  <c r="J242"/>
  <c r="A243"/>
  <c r="B243"/>
  <c r="C243"/>
  <c r="D243"/>
  <c r="E243"/>
  <c r="F243"/>
  <c r="G243"/>
  <c r="H243"/>
  <c r="I243"/>
  <c r="J243"/>
  <c r="A244"/>
  <c r="B244"/>
  <c r="C244"/>
  <c r="D244"/>
  <c r="E244"/>
  <c r="F244"/>
  <c r="G244"/>
  <c r="H244"/>
  <c r="I244"/>
  <c r="J244"/>
  <c r="A245"/>
  <c r="B245"/>
  <c r="C245"/>
  <c r="D245"/>
  <c r="E245"/>
  <c r="F245"/>
  <c r="G245"/>
  <c r="H245"/>
  <c r="I245"/>
  <c r="J245"/>
  <c r="A246"/>
  <c r="B246"/>
  <c r="C246"/>
  <c r="D246"/>
  <c r="E246"/>
  <c r="F246"/>
  <c r="G246"/>
  <c r="H246"/>
  <c r="I246"/>
  <c r="J246"/>
  <c r="A247"/>
  <c r="B247"/>
  <c r="C247"/>
  <c r="D247"/>
  <c r="E247"/>
  <c r="F247"/>
  <c r="G247"/>
  <c r="H247"/>
  <c r="I247"/>
  <c r="J247"/>
  <c r="A248"/>
  <c r="B248"/>
  <c r="C248"/>
  <c r="D248"/>
  <c r="E248"/>
  <c r="F248"/>
  <c r="G248"/>
  <c r="H248"/>
  <c r="I248"/>
  <c r="J248"/>
  <c r="A249"/>
  <c r="B249"/>
  <c r="C249"/>
  <c r="D249"/>
  <c r="E249"/>
  <c r="F249"/>
  <c r="G249"/>
  <c r="H249"/>
  <c r="I249"/>
  <c r="J249"/>
  <c r="A250"/>
  <c r="B250"/>
  <c r="C250"/>
  <c r="D250"/>
  <c r="E250"/>
  <c r="F250"/>
  <c r="G250"/>
  <c r="H250"/>
  <c r="I250"/>
  <c r="J250"/>
  <c r="A251"/>
  <c r="B251"/>
  <c r="C251"/>
  <c r="D251"/>
  <c r="E251"/>
  <c r="F251"/>
  <c r="G251"/>
  <c r="H251"/>
  <c r="I251"/>
  <c r="J251"/>
  <c r="A252"/>
  <c r="B252"/>
  <c r="C252"/>
  <c r="D252"/>
  <c r="E252"/>
  <c r="F252"/>
  <c r="G252"/>
  <c r="H252"/>
  <c r="I252"/>
  <c r="J252"/>
  <c r="A253"/>
  <c r="B253"/>
  <c r="C253"/>
  <c r="D253"/>
  <c r="E253"/>
  <c r="F253"/>
  <c r="G253"/>
  <c r="H253"/>
  <c r="I253"/>
  <c r="J253"/>
  <c r="A254"/>
  <c r="B254"/>
  <c r="C254"/>
  <c r="D254"/>
  <c r="E254"/>
  <c r="F254"/>
  <c r="G254"/>
  <c r="H254"/>
  <c r="I254"/>
  <c r="J254"/>
  <c r="A255"/>
  <c r="B255"/>
  <c r="C255"/>
  <c r="D255"/>
  <c r="E255"/>
  <c r="F255"/>
  <c r="G255"/>
  <c r="H255"/>
  <c r="I255"/>
  <c r="J255"/>
  <c r="A256"/>
  <c r="B256"/>
  <c r="C256"/>
  <c r="D256"/>
  <c r="E256"/>
  <c r="F256"/>
  <c r="G256"/>
  <c r="H256"/>
  <c r="I256"/>
  <c r="J256"/>
  <c r="A257"/>
  <c r="B257"/>
  <c r="C257"/>
  <c r="D257"/>
  <c r="E257"/>
  <c r="F257"/>
  <c r="G257"/>
  <c r="H257"/>
  <c r="I257"/>
  <c r="J257"/>
  <c r="A258"/>
  <c r="B258"/>
  <c r="C258"/>
  <c r="D258"/>
  <c r="E258"/>
  <c r="F258"/>
  <c r="G258"/>
  <c r="H258"/>
  <c r="I258"/>
  <c r="J258"/>
  <c r="A259"/>
  <c r="B259"/>
  <c r="C259"/>
  <c r="D259"/>
  <c r="E259"/>
  <c r="F259"/>
  <c r="G259"/>
  <c r="H259"/>
  <c r="I259"/>
  <c r="J259"/>
  <c r="A260"/>
  <c r="B260"/>
  <c r="C260"/>
  <c r="D260"/>
  <c r="E260"/>
  <c r="F260"/>
  <c r="G260"/>
  <c r="H260"/>
  <c r="I260"/>
  <c r="J260"/>
  <c r="A261"/>
  <c r="B261"/>
  <c r="C261"/>
  <c r="D261"/>
  <c r="E261"/>
  <c r="F261"/>
  <c r="G261"/>
  <c r="H261"/>
  <c r="I261"/>
  <c r="J261"/>
  <c r="A262"/>
  <c r="B262"/>
  <c r="C262"/>
  <c r="D262"/>
  <c r="E262"/>
  <c r="F262"/>
  <c r="G262"/>
  <c r="H262"/>
  <c r="I262"/>
  <c r="J262"/>
  <c r="A263"/>
  <c r="B263"/>
  <c r="C263"/>
  <c r="D263"/>
  <c r="E263"/>
  <c r="F263"/>
  <c r="G263"/>
  <c r="H263"/>
  <c r="I263"/>
  <c r="J263"/>
  <c r="A264"/>
  <c r="B264"/>
  <c r="C264"/>
  <c r="D264"/>
  <c r="E264"/>
  <c r="F264"/>
  <c r="G264"/>
  <c r="H264"/>
  <c r="I264"/>
  <c r="J264"/>
  <c r="A265"/>
  <c r="B265"/>
  <c r="C265"/>
  <c r="D265"/>
  <c r="E265"/>
  <c r="F265"/>
  <c r="G265"/>
  <c r="H265"/>
  <c r="I265"/>
  <c r="J265"/>
  <c r="A266"/>
  <c r="B266"/>
  <c r="C266"/>
  <c r="D266"/>
  <c r="E266"/>
  <c r="F266"/>
  <c r="G266"/>
  <c r="H266"/>
  <c r="I266"/>
  <c r="J266"/>
  <c r="A267"/>
  <c r="B267"/>
  <c r="C267"/>
  <c r="D267"/>
  <c r="E267"/>
  <c r="F267"/>
  <c r="G267"/>
  <c r="H267"/>
  <c r="I267"/>
  <c r="J267"/>
  <c r="A268"/>
  <c r="B268"/>
  <c r="C268"/>
  <c r="D268"/>
  <c r="E268"/>
  <c r="F268"/>
  <c r="G268"/>
  <c r="H268"/>
  <c r="I268"/>
  <c r="J268"/>
  <c r="A269"/>
  <c r="B269"/>
  <c r="C269"/>
  <c r="D269"/>
  <c r="E269"/>
  <c r="F269"/>
  <c r="G269"/>
  <c r="H269"/>
  <c r="I269"/>
  <c r="J269"/>
  <c r="A270"/>
  <c r="B270"/>
  <c r="C270"/>
  <c r="D270"/>
  <c r="E270"/>
  <c r="F270"/>
  <c r="G270"/>
  <c r="H270"/>
  <c r="I270"/>
  <c r="J270"/>
  <c r="A271"/>
  <c r="B271"/>
  <c r="C271"/>
  <c r="D271"/>
  <c r="E271"/>
  <c r="F271"/>
  <c r="G271"/>
  <c r="H271"/>
  <c r="I271"/>
  <c r="J271"/>
  <c r="A272"/>
  <c r="B272"/>
  <c r="C272"/>
  <c r="D272"/>
  <c r="E272"/>
  <c r="F272"/>
  <c r="G272"/>
  <c r="H272"/>
  <c r="I272"/>
  <c r="J272"/>
  <c r="A273"/>
  <c r="B273"/>
  <c r="C273"/>
  <c r="D273"/>
  <c r="E273"/>
  <c r="F273"/>
  <c r="G273"/>
  <c r="H273"/>
  <c r="I273"/>
  <c r="J273"/>
  <c r="A274"/>
  <c r="B274"/>
  <c r="C274"/>
  <c r="D274"/>
  <c r="E274"/>
  <c r="F274"/>
  <c r="G274"/>
  <c r="H274"/>
  <c r="I274"/>
  <c r="J274"/>
  <c r="A275"/>
  <c r="B275"/>
  <c r="C275"/>
  <c r="D275"/>
  <c r="E275"/>
  <c r="F275"/>
  <c r="G275"/>
  <c r="H275"/>
  <c r="I275"/>
  <c r="J275"/>
  <c r="A276"/>
  <c r="B276"/>
  <c r="C276"/>
  <c r="D276"/>
  <c r="E276"/>
  <c r="F276"/>
  <c r="G276"/>
  <c r="H276"/>
  <c r="I276"/>
  <c r="J276"/>
  <c r="A277"/>
  <c r="B277"/>
  <c r="C277"/>
  <c r="D277"/>
  <c r="E277"/>
  <c r="F277"/>
  <c r="G277"/>
  <c r="H277"/>
  <c r="I277"/>
  <c r="J277"/>
  <c r="A278"/>
  <c r="B278"/>
  <c r="C278"/>
  <c r="D278"/>
  <c r="E278"/>
  <c r="F278"/>
  <c r="G278"/>
  <c r="H278"/>
  <c r="I278"/>
  <c r="J278"/>
  <c r="A279"/>
  <c r="B279"/>
  <c r="C279"/>
  <c r="D279"/>
  <c r="E279"/>
  <c r="F279"/>
  <c r="G279"/>
  <c r="H279"/>
  <c r="I279"/>
  <c r="J279"/>
  <c r="A280"/>
  <c r="B280"/>
  <c r="C280"/>
  <c r="D280"/>
  <c r="E280"/>
  <c r="F280"/>
  <c r="G280"/>
  <c r="H280"/>
  <c r="I280"/>
  <c r="J280"/>
  <c r="A281"/>
  <c r="B281"/>
  <c r="C281"/>
  <c r="D281"/>
  <c r="E281"/>
  <c r="F281"/>
  <c r="G281"/>
  <c r="H281"/>
  <c r="I281"/>
  <c r="J281"/>
  <c r="A282"/>
  <c r="B282"/>
  <c r="C282"/>
  <c r="D282"/>
  <c r="E282"/>
  <c r="F282"/>
  <c r="G282"/>
  <c r="H282"/>
  <c r="I282"/>
  <c r="J282"/>
  <c r="A283"/>
  <c r="B283"/>
  <c r="C283"/>
  <c r="D283"/>
  <c r="E283"/>
  <c r="F283"/>
  <c r="G283"/>
  <c r="H283"/>
  <c r="I283"/>
  <c r="J283"/>
  <c r="A284"/>
  <c r="B284"/>
  <c r="C284"/>
  <c r="D284"/>
  <c r="E284"/>
  <c r="F284"/>
  <c r="G284"/>
  <c r="H284"/>
  <c r="I284"/>
  <c r="J284"/>
  <c r="A285"/>
  <c r="B285"/>
  <c r="C285"/>
  <c r="D285"/>
  <c r="E285"/>
  <c r="F285"/>
  <c r="G285"/>
  <c r="H285"/>
  <c r="I285"/>
  <c r="J285"/>
  <c r="A286"/>
  <c r="B286"/>
  <c r="C286"/>
  <c r="D286"/>
  <c r="E286"/>
  <c r="F286"/>
  <c r="G286"/>
  <c r="H286"/>
  <c r="I286"/>
  <c r="J286"/>
  <c r="A287"/>
  <c r="B287"/>
  <c r="C287"/>
  <c r="D287"/>
  <c r="E287"/>
  <c r="F287"/>
  <c r="G287"/>
  <c r="H287"/>
  <c r="I287"/>
  <c r="J287"/>
  <c r="A288"/>
  <c r="B288"/>
  <c r="C288"/>
  <c r="D288"/>
  <c r="E288"/>
  <c r="F288"/>
  <c r="G288"/>
  <c r="H288"/>
  <c r="I288"/>
  <c r="J288"/>
  <c r="A289"/>
  <c r="B289"/>
  <c r="C289"/>
  <c r="D289"/>
  <c r="E289"/>
  <c r="F289"/>
  <c r="G289"/>
  <c r="H289"/>
  <c r="I289"/>
  <c r="J289"/>
  <c r="A290"/>
  <c r="B290"/>
  <c r="C290"/>
  <c r="D290"/>
  <c r="E290"/>
  <c r="F290"/>
  <c r="G290"/>
  <c r="H290"/>
  <c r="I290"/>
  <c r="J290"/>
  <c r="A291"/>
  <c r="B291"/>
  <c r="C291"/>
  <c r="D291"/>
  <c r="E291"/>
  <c r="F291"/>
  <c r="G291"/>
  <c r="H291"/>
  <c r="I291"/>
  <c r="J291"/>
  <c r="A292"/>
  <c r="B292"/>
  <c r="C292"/>
  <c r="D292"/>
  <c r="E292"/>
  <c r="F292"/>
  <c r="G292"/>
  <c r="H292"/>
  <c r="I292"/>
  <c r="J292"/>
  <c r="A293"/>
  <c r="B293"/>
  <c r="C293"/>
  <c r="D293"/>
  <c r="E293"/>
  <c r="F293"/>
  <c r="G293"/>
  <c r="H293"/>
  <c r="I293"/>
  <c r="J293"/>
  <c r="A294"/>
  <c r="B294"/>
  <c r="C294"/>
  <c r="D294"/>
  <c r="E294"/>
  <c r="F294"/>
  <c r="G294"/>
  <c r="H294"/>
  <c r="I294"/>
  <c r="J294"/>
  <c r="A295"/>
  <c r="B295"/>
  <c r="C295"/>
  <c r="D295"/>
  <c r="E295"/>
  <c r="F295"/>
  <c r="G295"/>
  <c r="H295"/>
  <c r="I295"/>
  <c r="J295"/>
  <c r="A296"/>
  <c r="B296"/>
  <c r="C296"/>
  <c r="D296"/>
  <c r="E296"/>
  <c r="F296"/>
  <c r="G296"/>
  <c r="H296"/>
  <c r="I296"/>
  <c r="J296"/>
  <c r="A297"/>
  <c r="B297"/>
  <c r="C297"/>
  <c r="D297"/>
  <c r="E297"/>
  <c r="F297"/>
  <c r="G297"/>
  <c r="H297"/>
  <c r="I297"/>
  <c r="J297"/>
  <c r="A298"/>
  <c r="B298"/>
  <c r="C298"/>
  <c r="D298"/>
  <c r="E298"/>
  <c r="F298"/>
  <c r="G298"/>
  <c r="H298"/>
  <c r="I298"/>
  <c r="J298"/>
  <c r="A299"/>
  <c r="B299"/>
  <c r="C299"/>
  <c r="D299"/>
  <c r="E299"/>
  <c r="F299"/>
  <c r="G299"/>
  <c r="H299"/>
  <c r="I299"/>
  <c r="J299"/>
  <c r="A300"/>
  <c r="B300"/>
  <c r="C300"/>
  <c r="D300"/>
  <c r="E300"/>
  <c r="F300"/>
  <c r="G300"/>
  <c r="H300"/>
  <c r="I300"/>
  <c r="J300"/>
  <c r="A301"/>
  <c r="B301"/>
  <c r="C301"/>
  <c r="D301"/>
  <c r="E301"/>
  <c r="F301"/>
  <c r="G301"/>
  <c r="H301"/>
  <c r="I301"/>
  <c r="J301"/>
  <c r="A302"/>
  <c r="B302"/>
  <c r="C302"/>
  <c r="D302"/>
  <c r="E302"/>
  <c r="F302"/>
  <c r="G302"/>
  <c r="H302"/>
  <c r="I302"/>
  <c r="J302"/>
  <c r="A303"/>
  <c r="B303"/>
  <c r="C303"/>
  <c r="D303"/>
  <c r="E303"/>
  <c r="F303"/>
  <c r="G303"/>
  <c r="H303"/>
  <c r="I303"/>
  <c r="J303"/>
  <c r="A304"/>
  <c r="B304"/>
  <c r="C304"/>
  <c r="D304"/>
  <c r="E304"/>
  <c r="F304"/>
  <c r="G304"/>
  <c r="H304"/>
  <c r="I304"/>
  <c r="J304"/>
  <c r="A305"/>
  <c r="B305"/>
  <c r="C305"/>
  <c r="D305"/>
  <c r="E305"/>
  <c r="F305"/>
  <c r="G305"/>
  <c r="H305"/>
  <c r="I305"/>
  <c r="J305"/>
  <c r="A306"/>
  <c r="B306"/>
  <c r="C306"/>
  <c r="D306"/>
  <c r="E306"/>
  <c r="F306"/>
  <c r="G306"/>
  <c r="H306"/>
  <c r="I306"/>
  <c r="J306"/>
  <c r="A307"/>
  <c r="B307"/>
  <c r="C307"/>
  <c r="D307"/>
  <c r="E307"/>
  <c r="F307"/>
  <c r="G307"/>
  <c r="H307"/>
  <c r="I307"/>
  <c r="J307"/>
  <c r="A308"/>
  <c r="B308"/>
  <c r="C308"/>
  <c r="D308"/>
  <c r="E308"/>
  <c r="F308"/>
  <c r="G308"/>
  <c r="H308"/>
  <c r="I308"/>
  <c r="J308"/>
  <c r="A309"/>
  <c r="B309"/>
  <c r="C309"/>
  <c r="D309"/>
  <c r="E309"/>
  <c r="F309"/>
  <c r="G309"/>
  <c r="H309"/>
  <c r="I309"/>
  <c r="J309"/>
  <c r="A310"/>
  <c r="B310"/>
  <c r="C310"/>
  <c r="D310"/>
  <c r="E310"/>
  <c r="F310"/>
  <c r="G310"/>
  <c r="H310"/>
  <c r="I310"/>
  <c r="J310"/>
  <c r="A311"/>
  <c r="B311"/>
  <c r="C311"/>
  <c r="D311"/>
  <c r="E311"/>
  <c r="F311"/>
  <c r="G311"/>
  <c r="H311"/>
  <c r="I311"/>
  <c r="J311"/>
  <c r="A312"/>
  <c r="B312"/>
  <c r="C312"/>
  <c r="D312"/>
  <c r="E312"/>
  <c r="F312"/>
  <c r="G312"/>
  <c r="H312"/>
  <c r="I312"/>
  <c r="J312"/>
  <c r="A313"/>
  <c r="B313"/>
  <c r="C313"/>
  <c r="D313"/>
  <c r="E313"/>
  <c r="F313"/>
  <c r="G313"/>
  <c r="H313"/>
  <c r="I313"/>
  <c r="J313"/>
  <c r="A314"/>
  <c r="B314"/>
  <c r="C314"/>
  <c r="D314"/>
  <c r="E314"/>
  <c r="F314"/>
  <c r="G314"/>
  <c r="H314"/>
  <c r="I314"/>
  <c r="J314"/>
  <c r="A315"/>
  <c r="B315"/>
  <c r="C315"/>
  <c r="D315"/>
  <c r="E315"/>
  <c r="F315"/>
  <c r="G315"/>
  <c r="H315"/>
  <c r="I315"/>
  <c r="J315"/>
  <c r="A316"/>
  <c r="B316"/>
  <c r="C316"/>
  <c r="D316"/>
  <c r="E316"/>
  <c r="F316"/>
  <c r="G316"/>
  <c r="H316"/>
  <c r="I316"/>
  <c r="J316"/>
  <c r="A317"/>
  <c r="B317"/>
  <c r="C317"/>
  <c r="D317"/>
  <c r="E317"/>
  <c r="F317"/>
  <c r="G317"/>
  <c r="H317"/>
  <c r="I317"/>
  <c r="J317"/>
  <c r="A318"/>
  <c r="B318"/>
  <c r="C318"/>
  <c r="D318"/>
  <c r="E318"/>
  <c r="F318"/>
  <c r="G318"/>
  <c r="H318"/>
  <c r="I318"/>
  <c r="J318"/>
  <c r="A319"/>
  <c r="B319"/>
  <c r="C319"/>
  <c r="D319"/>
  <c r="E319"/>
  <c r="F319"/>
  <c r="G319"/>
  <c r="H319"/>
  <c r="I319"/>
  <c r="J319"/>
  <c r="A320"/>
  <c r="B320"/>
  <c r="C320"/>
  <c r="D320"/>
  <c r="E320"/>
  <c r="F320"/>
  <c r="G320"/>
  <c r="H320"/>
  <c r="I320"/>
  <c r="J320"/>
  <c r="A321"/>
  <c r="B321"/>
  <c r="C321"/>
  <c r="D321"/>
  <c r="E321"/>
  <c r="F321"/>
  <c r="G321"/>
  <c r="H321"/>
  <c r="I321"/>
  <c r="J321"/>
  <c r="A322"/>
  <c r="B322"/>
  <c r="C322"/>
  <c r="D322"/>
  <c r="E322"/>
  <c r="F322"/>
  <c r="G322"/>
  <c r="H322"/>
  <c r="I322"/>
  <c r="J322"/>
  <c r="A323"/>
  <c r="B323"/>
  <c r="C323"/>
  <c r="D323"/>
  <c r="E323"/>
  <c r="F323"/>
  <c r="G323"/>
  <c r="H323"/>
  <c r="I323"/>
  <c r="J323"/>
  <c r="A324"/>
  <c r="B324"/>
  <c r="C324"/>
  <c r="D324"/>
  <c r="E324"/>
  <c r="F324"/>
  <c r="G324"/>
  <c r="H324"/>
  <c r="I324"/>
  <c r="J324"/>
  <c r="A325"/>
  <c r="B325"/>
  <c r="C325"/>
  <c r="D325"/>
  <c r="E325"/>
  <c r="F325"/>
  <c r="G325"/>
  <c r="H325"/>
  <c r="I325"/>
  <c r="J325"/>
  <c r="A326"/>
  <c r="B326"/>
  <c r="C326"/>
  <c r="D326"/>
  <c r="E326"/>
  <c r="F326"/>
  <c r="G326"/>
  <c r="H326"/>
  <c r="I326"/>
  <c r="J326"/>
  <c r="A327"/>
  <c r="B327"/>
  <c r="C327"/>
  <c r="D327"/>
  <c r="E327"/>
  <c r="F327"/>
  <c r="G327"/>
  <c r="H327"/>
  <c r="I327"/>
  <c r="J327"/>
  <c r="A328"/>
  <c r="B328"/>
  <c r="C328"/>
  <c r="D328"/>
  <c r="E328"/>
  <c r="F328"/>
  <c r="G328"/>
  <c r="H328"/>
  <c r="I328"/>
  <c r="J328"/>
  <c r="A329"/>
  <c r="B329"/>
  <c r="C329"/>
  <c r="D329"/>
  <c r="E329"/>
  <c r="F329"/>
  <c r="G329"/>
  <c r="H329"/>
  <c r="I329"/>
  <c r="J329"/>
  <c r="A330"/>
  <c r="B330"/>
  <c r="C330"/>
  <c r="D330"/>
  <c r="E330"/>
  <c r="F330"/>
  <c r="G330"/>
  <c r="H330"/>
  <c r="I330"/>
  <c r="J330"/>
  <c r="A331"/>
  <c r="B331"/>
  <c r="C331"/>
  <c r="D331"/>
  <c r="E331"/>
  <c r="F331"/>
  <c r="G331"/>
  <c r="H331"/>
  <c r="I331"/>
  <c r="J331"/>
  <c r="A332"/>
  <c r="B332"/>
  <c r="C332"/>
  <c r="D332"/>
  <c r="E332"/>
  <c r="F332"/>
  <c r="G332"/>
  <c r="H332"/>
  <c r="I332"/>
  <c r="J332"/>
  <c r="A333"/>
  <c r="B333"/>
  <c r="C333"/>
  <c r="D333"/>
  <c r="E333"/>
  <c r="F333"/>
  <c r="G333"/>
  <c r="H333"/>
  <c r="I333"/>
  <c r="J333"/>
  <c r="A334"/>
  <c r="B334"/>
  <c r="C334"/>
  <c r="D334"/>
  <c r="E334"/>
  <c r="F334"/>
  <c r="G334"/>
  <c r="H334"/>
  <c r="I334"/>
  <c r="J334"/>
  <c r="A335"/>
  <c r="B335"/>
  <c r="C335"/>
  <c r="D335"/>
  <c r="E335"/>
  <c r="F335"/>
  <c r="G335"/>
  <c r="H335"/>
  <c r="I335"/>
  <c r="J335"/>
  <c r="A336"/>
  <c r="B336"/>
  <c r="C336"/>
  <c r="D336"/>
  <c r="E336"/>
  <c r="F336"/>
  <c r="G336"/>
  <c r="H336"/>
  <c r="I336"/>
  <c r="J336"/>
  <c r="A337"/>
  <c r="B337"/>
  <c r="C337"/>
  <c r="D337"/>
  <c r="E337"/>
  <c r="F337"/>
  <c r="G337"/>
  <c r="H337"/>
  <c r="I337"/>
  <c r="J337"/>
  <c r="A338"/>
  <c r="B338"/>
  <c r="C338"/>
  <c r="D338"/>
  <c r="E338"/>
  <c r="F338"/>
  <c r="G338"/>
  <c r="H338"/>
  <c r="I338"/>
  <c r="J338"/>
  <c r="A339"/>
  <c r="B339"/>
  <c r="C339"/>
  <c r="D339"/>
  <c r="E339"/>
  <c r="F339"/>
  <c r="G339"/>
  <c r="H339"/>
  <c r="I339"/>
  <c r="J339"/>
  <c r="A340"/>
  <c r="B340"/>
  <c r="C340"/>
  <c r="D340"/>
  <c r="E340"/>
  <c r="F340"/>
  <c r="G340"/>
  <c r="H340"/>
  <c r="I340"/>
  <c r="J340"/>
  <c r="A341"/>
  <c r="B341"/>
  <c r="C341"/>
  <c r="D341"/>
  <c r="E341"/>
  <c r="F341"/>
  <c r="G341"/>
  <c r="H341"/>
  <c r="I341"/>
  <c r="J341"/>
  <c r="A342"/>
  <c r="B342"/>
  <c r="C342"/>
  <c r="D342"/>
  <c r="E342"/>
  <c r="F342"/>
  <c r="G342"/>
  <c r="H342"/>
  <c r="I342"/>
  <c r="J342"/>
  <c r="A343"/>
  <c r="B343"/>
  <c r="C343"/>
  <c r="D343"/>
  <c r="E343"/>
  <c r="F343"/>
  <c r="G343"/>
  <c r="H343"/>
  <c r="I343"/>
  <c r="J343"/>
  <c r="A344"/>
  <c r="B344"/>
  <c r="C344"/>
  <c r="D344"/>
  <c r="E344"/>
  <c r="F344"/>
  <c r="G344"/>
  <c r="H344"/>
  <c r="I344"/>
  <c r="J344"/>
  <c r="A345"/>
  <c r="B345"/>
  <c r="C345"/>
  <c r="D345"/>
  <c r="E345"/>
  <c r="F345"/>
  <c r="G345"/>
  <c r="H345"/>
  <c r="I345"/>
  <c r="J345"/>
  <c r="A346"/>
  <c r="B346"/>
  <c r="C346"/>
  <c r="D346"/>
  <c r="E346"/>
  <c r="F346"/>
  <c r="G346"/>
  <c r="H346"/>
  <c r="I346"/>
  <c r="J346"/>
  <c r="A347"/>
  <c r="B347"/>
  <c r="C347"/>
  <c r="D347"/>
  <c r="E347"/>
  <c r="F347"/>
  <c r="G347"/>
  <c r="H347"/>
  <c r="I347"/>
  <c r="J347"/>
  <c r="A348"/>
  <c r="B348"/>
  <c r="C348"/>
  <c r="D348"/>
  <c r="E348"/>
  <c r="F348"/>
  <c r="G348"/>
  <c r="H348"/>
  <c r="I348"/>
  <c r="J348"/>
  <c r="A349"/>
  <c r="B349"/>
  <c r="C349"/>
  <c r="D349"/>
  <c r="E349"/>
  <c r="F349"/>
  <c r="G349"/>
  <c r="H349"/>
  <c r="I349"/>
  <c r="J349"/>
  <c r="A350"/>
  <c r="B350"/>
  <c r="C350"/>
  <c r="D350"/>
  <c r="E350"/>
  <c r="F350"/>
  <c r="G350"/>
  <c r="H350"/>
  <c r="I350"/>
  <c r="J350"/>
  <c r="A351"/>
  <c r="B351"/>
  <c r="C351"/>
  <c r="D351"/>
  <c r="E351"/>
  <c r="F351"/>
  <c r="G351"/>
  <c r="H351"/>
  <c r="I351"/>
  <c r="J351"/>
  <c r="A352"/>
  <c r="B352"/>
  <c r="C352"/>
  <c r="D352"/>
  <c r="E352"/>
  <c r="F352"/>
  <c r="G352"/>
  <c r="H352"/>
  <c r="I352"/>
  <c r="J352"/>
  <c r="A353"/>
  <c r="B353"/>
  <c r="C353"/>
  <c r="D353"/>
  <c r="E353"/>
  <c r="F353"/>
  <c r="G353"/>
  <c r="H353"/>
  <c r="I353"/>
  <c r="J353"/>
  <c r="A354"/>
  <c r="B354"/>
  <c r="C354"/>
  <c r="D354"/>
  <c r="E354"/>
  <c r="F354"/>
  <c r="G354"/>
  <c r="H354"/>
  <c r="I354"/>
  <c r="J354"/>
  <c r="A355"/>
  <c r="B355"/>
  <c r="C355"/>
  <c r="D355"/>
  <c r="E355"/>
  <c r="F355"/>
  <c r="G355"/>
  <c r="H355"/>
  <c r="I355"/>
  <c r="J355"/>
  <c r="A356"/>
  <c r="B356"/>
  <c r="C356"/>
  <c r="D356"/>
  <c r="E356"/>
  <c r="F356"/>
  <c r="G356"/>
  <c r="H356"/>
  <c r="I356"/>
  <c r="J356"/>
  <c r="A357"/>
  <c r="B357"/>
  <c r="C357"/>
  <c r="D357"/>
  <c r="E357"/>
  <c r="F357"/>
  <c r="G357"/>
  <c r="H357"/>
  <c r="I357"/>
  <c r="J357"/>
  <c r="A358"/>
  <c r="B358"/>
  <c r="C358"/>
  <c r="D358"/>
  <c r="E358"/>
  <c r="F358"/>
  <c r="G358"/>
  <c r="H358"/>
  <c r="I358"/>
  <c r="J358"/>
  <c r="A359"/>
  <c r="B359"/>
  <c r="C359"/>
  <c r="D359"/>
  <c r="E359"/>
  <c r="F359"/>
  <c r="G359"/>
  <c r="H359"/>
  <c r="I359"/>
  <c r="J359"/>
  <c r="A360"/>
  <c r="B360"/>
  <c r="C360"/>
  <c r="D360"/>
  <c r="E360"/>
  <c r="F360"/>
  <c r="G360"/>
  <c r="H360"/>
  <c r="I360"/>
  <c r="J360"/>
  <c r="A361"/>
  <c r="B361"/>
  <c r="C361"/>
  <c r="D361"/>
  <c r="E361"/>
  <c r="F361"/>
  <c r="G361"/>
  <c r="H361"/>
  <c r="I361"/>
  <c r="J361"/>
  <c r="A362"/>
  <c r="B362"/>
  <c r="C362"/>
  <c r="D362"/>
  <c r="E362"/>
  <c r="F362"/>
  <c r="G362"/>
  <c r="H362"/>
  <c r="I362"/>
  <c r="J362"/>
  <c r="A363"/>
  <c r="B363"/>
  <c r="C363"/>
  <c r="D363"/>
  <c r="E363"/>
  <c r="F363"/>
  <c r="G363"/>
  <c r="H363"/>
  <c r="I363"/>
  <c r="J363"/>
  <c r="A364"/>
  <c r="B364"/>
  <c r="C364"/>
  <c r="D364"/>
  <c r="E364"/>
  <c r="F364"/>
  <c r="G364"/>
  <c r="H364"/>
  <c r="I364"/>
  <c r="J364"/>
  <c r="A365"/>
  <c r="B365"/>
  <c r="C365"/>
  <c r="D365"/>
  <c r="E365"/>
  <c r="F365"/>
  <c r="G365"/>
  <c r="H365"/>
  <c r="I365"/>
  <c r="J365"/>
  <c r="A366"/>
  <c r="B366"/>
  <c r="C366"/>
  <c r="D366"/>
  <c r="E366"/>
  <c r="F366"/>
  <c r="G366"/>
  <c r="H366"/>
  <c r="I366"/>
  <c r="J366"/>
  <c r="A367"/>
  <c r="B367"/>
  <c r="C367"/>
  <c r="D367"/>
  <c r="E367"/>
  <c r="F367"/>
  <c r="G367"/>
  <c r="H367"/>
  <c r="I367"/>
  <c r="J367"/>
  <c r="A368"/>
  <c r="B368"/>
  <c r="C368"/>
  <c r="D368"/>
  <c r="E368"/>
  <c r="F368"/>
  <c r="G368"/>
  <c r="H368"/>
  <c r="I368"/>
  <c r="J368"/>
  <c r="A369"/>
  <c r="B369"/>
  <c r="C369"/>
  <c r="D369"/>
  <c r="E369"/>
  <c r="F369"/>
  <c r="G369"/>
  <c r="H369"/>
  <c r="I369"/>
  <c r="J369"/>
  <c r="A370"/>
  <c r="B370"/>
  <c r="C370"/>
  <c r="D370"/>
  <c r="E370"/>
  <c r="F370"/>
  <c r="G370"/>
  <c r="H370"/>
  <c r="I370"/>
  <c r="J370"/>
  <c r="A371"/>
  <c r="B371"/>
  <c r="C371"/>
  <c r="D371"/>
  <c r="E371"/>
  <c r="F371"/>
  <c r="G371"/>
  <c r="H371"/>
  <c r="I371"/>
  <c r="J371"/>
  <c r="A372"/>
  <c r="B372"/>
  <c r="C372"/>
  <c r="D372"/>
  <c r="E372"/>
  <c r="F372"/>
  <c r="G372"/>
  <c r="H372"/>
  <c r="I372"/>
  <c r="J372"/>
  <c r="A373"/>
  <c r="B373"/>
  <c r="C373"/>
  <c r="D373"/>
  <c r="E373"/>
  <c r="F373"/>
  <c r="G373"/>
  <c r="H373"/>
  <c r="I373"/>
  <c r="J373"/>
  <c r="A374"/>
  <c r="B374"/>
  <c r="C374"/>
  <c r="D374"/>
  <c r="E374"/>
  <c r="F374"/>
  <c r="G374"/>
  <c r="H374"/>
  <c r="I374"/>
  <c r="J374"/>
  <c r="A375"/>
  <c r="B375"/>
  <c r="C375"/>
  <c r="D375"/>
  <c r="E375"/>
  <c r="F375"/>
  <c r="G375"/>
  <c r="H375"/>
  <c r="I375"/>
  <c r="J375"/>
  <c r="A376"/>
  <c r="B376"/>
  <c r="C376"/>
  <c r="D376"/>
  <c r="E376"/>
  <c r="F376"/>
  <c r="G376"/>
  <c r="H376"/>
  <c r="I376"/>
  <c r="J376"/>
  <c r="A377"/>
  <c r="B377"/>
  <c r="C377"/>
  <c r="D377"/>
  <c r="E377"/>
  <c r="F377"/>
  <c r="G377"/>
  <c r="H377"/>
  <c r="I377"/>
  <c r="J377"/>
  <c r="A378"/>
  <c r="B378"/>
  <c r="C378"/>
  <c r="D378"/>
  <c r="E378"/>
  <c r="F378"/>
  <c r="G378"/>
  <c r="H378"/>
  <c r="I378"/>
  <c r="J378"/>
  <c r="A379"/>
  <c r="B379"/>
  <c r="C379"/>
  <c r="D379"/>
  <c r="E379"/>
  <c r="F379"/>
  <c r="G379"/>
  <c r="H379"/>
  <c r="I379"/>
  <c r="J379"/>
  <c r="A380"/>
  <c r="B380"/>
  <c r="C380"/>
  <c r="D380"/>
  <c r="E380"/>
  <c r="F380"/>
  <c r="G380"/>
  <c r="H380"/>
  <c r="I380"/>
  <c r="J380"/>
  <c r="A381"/>
  <c r="B381"/>
  <c r="C381"/>
  <c r="D381"/>
  <c r="E381"/>
  <c r="F381"/>
  <c r="G381"/>
  <c r="H381"/>
  <c r="I381"/>
  <c r="J381"/>
  <c r="A382"/>
  <c r="B382"/>
  <c r="C382"/>
  <c r="D382"/>
  <c r="E382"/>
  <c r="F382"/>
  <c r="G382"/>
  <c r="H382"/>
  <c r="I382"/>
  <c r="J382"/>
  <c r="A383"/>
  <c r="B383"/>
  <c r="C383"/>
  <c r="D383"/>
  <c r="E383"/>
  <c r="F383"/>
  <c r="G383"/>
  <c r="H383"/>
  <c r="I383"/>
  <c r="J383"/>
  <c r="A384"/>
  <c r="B384"/>
  <c r="C384"/>
  <c r="D384"/>
  <c r="E384"/>
  <c r="F384"/>
  <c r="G384"/>
  <c r="H384"/>
  <c r="I384"/>
  <c r="J384"/>
  <c r="A385"/>
  <c r="B385"/>
  <c r="C385"/>
  <c r="D385"/>
  <c r="E385"/>
  <c r="F385"/>
  <c r="G385"/>
  <c r="H385"/>
  <c r="I385"/>
  <c r="J385"/>
  <c r="A386"/>
  <c r="B386"/>
  <c r="C386"/>
  <c r="D386"/>
  <c r="E386"/>
  <c r="F386"/>
  <c r="G386"/>
  <c r="H386"/>
  <c r="I386"/>
  <c r="J386"/>
  <c r="A387"/>
  <c r="B387"/>
  <c r="C387"/>
  <c r="D387"/>
  <c r="E387"/>
  <c r="F387"/>
  <c r="G387"/>
  <c r="H387"/>
  <c r="I387"/>
  <c r="J387"/>
  <c r="A388"/>
  <c r="B388"/>
  <c r="C388"/>
  <c r="D388"/>
  <c r="E388"/>
  <c r="F388"/>
  <c r="G388"/>
  <c r="H388"/>
  <c r="I388"/>
  <c r="J388"/>
  <c r="A389"/>
  <c r="B389"/>
  <c r="C389"/>
  <c r="D389"/>
  <c r="E389"/>
  <c r="F389"/>
  <c r="G389"/>
  <c r="H389"/>
  <c r="I389"/>
  <c r="J389"/>
  <c r="A390"/>
  <c r="B390"/>
  <c r="C390"/>
  <c r="D390"/>
  <c r="E390"/>
  <c r="F390"/>
  <c r="G390"/>
  <c r="H390"/>
  <c r="I390"/>
  <c r="J390"/>
  <c r="A391"/>
  <c r="B391"/>
  <c r="C391"/>
  <c r="D391"/>
  <c r="E391"/>
  <c r="F391"/>
  <c r="G391"/>
  <c r="H391"/>
  <c r="I391"/>
  <c r="J391"/>
  <c r="A392"/>
  <c r="B392"/>
  <c r="C392"/>
  <c r="D392"/>
  <c r="E392"/>
  <c r="F392"/>
  <c r="G392"/>
  <c r="H392"/>
  <c r="I392"/>
  <c r="J392"/>
  <c r="A393"/>
  <c r="B393"/>
  <c r="C393"/>
  <c r="D393"/>
  <c r="E393"/>
  <c r="F393"/>
  <c r="G393"/>
  <c r="H393"/>
  <c r="I393"/>
  <c r="J393"/>
  <c r="A394"/>
  <c r="B394"/>
  <c r="C394"/>
  <c r="D394"/>
  <c r="E394"/>
  <c r="F394"/>
  <c r="G394"/>
  <c r="H394"/>
  <c r="I394"/>
  <c r="J394"/>
  <c r="A395"/>
  <c r="B395"/>
  <c r="C395"/>
  <c r="D395"/>
  <c r="E395"/>
  <c r="F395"/>
  <c r="G395"/>
  <c r="H395"/>
  <c r="I395"/>
  <c r="J395"/>
  <c r="A396"/>
  <c r="B396"/>
  <c r="C396"/>
  <c r="D396"/>
  <c r="E396"/>
  <c r="F396"/>
  <c r="G396"/>
  <c r="H396"/>
  <c r="I396"/>
  <c r="J396"/>
  <c r="A397"/>
  <c r="B397"/>
  <c r="C397"/>
  <c r="D397"/>
  <c r="E397"/>
  <c r="F397"/>
  <c r="G397"/>
  <c r="H397"/>
  <c r="I397"/>
  <c r="J397"/>
  <c r="A398"/>
  <c r="B398"/>
  <c r="C398"/>
  <c r="D398"/>
  <c r="E398"/>
  <c r="F398"/>
  <c r="G398"/>
  <c r="H398"/>
  <c r="I398"/>
  <c r="J398"/>
  <c r="A399"/>
  <c r="B399"/>
  <c r="C399"/>
  <c r="D399"/>
  <c r="E399"/>
  <c r="F399"/>
  <c r="G399"/>
  <c r="H399"/>
  <c r="I399"/>
  <c r="J399"/>
  <c r="A400"/>
  <c r="B400"/>
  <c r="C400"/>
  <c r="D400"/>
  <c r="E400"/>
  <c r="F400"/>
  <c r="G400"/>
  <c r="H400"/>
  <c r="I400"/>
  <c r="J400"/>
  <c r="A401"/>
  <c r="B401"/>
  <c r="C401"/>
  <c r="D401"/>
  <c r="E401"/>
  <c r="F401"/>
  <c r="G401"/>
  <c r="H401"/>
  <c r="I401"/>
  <c r="J401"/>
  <c r="A402"/>
  <c r="B402"/>
  <c r="C402"/>
  <c r="D402"/>
  <c r="E402"/>
  <c r="F402"/>
  <c r="G402"/>
  <c r="H402"/>
  <c r="I402"/>
  <c r="J402"/>
  <c r="A403"/>
  <c r="B403"/>
  <c r="C403"/>
  <c r="D403"/>
  <c r="E403"/>
  <c r="F403"/>
  <c r="G403"/>
  <c r="H403"/>
  <c r="I403"/>
  <c r="J403"/>
  <c r="A404"/>
  <c r="B404"/>
  <c r="C404"/>
  <c r="D404"/>
  <c r="E404"/>
  <c r="F404"/>
  <c r="G404"/>
  <c r="H404"/>
  <c r="I404"/>
  <c r="J404"/>
  <c r="A405"/>
  <c r="B405"/>
  <c r="C405"/>
  <c r="D405"/>
  <c r="E405"/>
  <c r="F405"/>
  <c r="G405"/>
  <c r="H405"/>
  <c r="I405"/>
  <c r="J405"/>
  <c r="A406"/>
  <c r="B406"/>
  <c r="C406"/>
  <c r="D406"/>
  <c r="E406"/>
  <c r="F406"/>
  <c r="G406"/>
  <c r="H406"/>
  <c r="I406"/>
  <c r="J406"/>
  <c r="A407"/>
  <c r="B407"/>
  <c r="C407"/>
  <c r="D407"/>
  <c r="E407"/>
  <c r="F407"/>
  <c r="G407"/>
  <c r="H407"/>
  <c r="I407"/>
  <c r="J407"/>
  <c r="A408"/>
  <c r="B408"/>
  <c r="C408"/>
  <c r="D408"/>
  <c r="E408"/>
  <c r="F408"/>
  <c r="G408"/>
  <c r="H408"/>
  <c r="I408"/>
  <c r="J408"/>
  <c r="A409"/>
  <c r="B409"/>
  <c r="C409"/>
  <c r="D409"/>
  <c r="E409"/>
  <c r="F409"/>
  <c r="G409"/>
  <c r="H409"/>
  <c r="I409"/>
  <c r="J409"/>
  <c r="A410"/>
  <c r="B410"/>
  <c r="C410"/>
  <c r="D410"/>
  <c r="E410"/>
  <c r="F410"/>
  <c r="G410"/>
  <c r="H410"/>
  <c r="I410"/>
  <c r="J410"/>
  <c r="A411"/>
  <c r="B411"/>
  <c r="C411"/>
  <c r="D411"/>
  <c r="E411"/>
  <c r="F411"/>
  <c r="G411"/>
  <c r="H411"/>
  <c r="I411"/>
  <c r="J411"/>
  <c r="A412"/>
  <c r="B412"/>
  <c r="C412"/>
  <c r="D412"/>
  <c r="E412"/>
  <c r="F412"/>
  <c r="G412"/>
  <c r="H412"/>
  <c r="I412"/>
  <c r="J412"/>
  <c r="A413"/>
  <c r="B413"/>
  <c r="C413"/>
  <c r="D413"/>
  <c r="E413"/>
  <c r="F413"/>
  <c r="G413"/>
  <c r="H413"/>
  <c r="I413"/>
  <c r="J413"/>
  <c r="A414"/>
  <c r="B414"/>
  <c r="C414"/>
  <c r="D414"/>
  <c r="E414"/>
  <c r="F414"/>
  <c r="G414"/>
  <c r="H414"/>
  <c r="I414"/>
  <c r="J414"/>
  <c r="A415"/>
  <c r="B415"/>
  <c r="C415"/>
  <c r="D415"/>
  <c r="E415"/>
  <c r="F415"/>
  <c r="G415"/>
  <c r="H415"/>
  <c r="I415"/>
  <c r="J415"/>
  <c r="A416"/>
  <c r="B416"/>
  <c r="C416"/>
  <c r="D416"/>
  <c r="E416"/>
  <c r="F416"/>
  <c r="G416"/>
  <c r="H416"/>
  <c r="I416"/>
  <c r="J416"/>
  <c r="A417"/>
  <c r="B417"/>
  <c r="C417"/>
  <c r="D417"/>
  <c r="E417"/>
  <c r="F417"/>
  <c r="G417"/>
  <c r="H417"/>
  <c r="I417"/>
  <c r="J417"/>
  <c r="A418"/>
  <c r="B418"/>
  <c r="C418"/>
  <c r="D418"/>
  <c r="E418"/>
  <c r="F418"/>
  <c r="G418"/>
  <c r="H418"/>
  <c r="I418"/>
  <c r="J418"/>
  <c r="A419"/>
  <c r="B419"/>
  <c r="C419"/>
  <c r="D419"/>
  <c r="E419"/>
  <c r="F419"/>
  <c r="G419"/>
  <c r="H419"/>
  <c r="I419"/>
  <c r="J419"/>
  <c r="A420"/>
  <c r="B420"/>
  <c r="C420"/>
  <c r="D420"/>
  <c r="E420"/>
  <c r="F420"/>
  <c r="G420"/>
  <c r="H420"/>
  <c r="I420"/>
  <c r="J420"/>
  <c r="A421"/>
  <c r="B421"/>
  <c r="C421"/>
  <c r="D421"/>
  <c r="E421"/>
  <c r="F421"/>
  <c r="G421"/>
  <c r="H421"/>
  <c r="I421"/>
  <c r="J421"/>
  <c r="A422"/>
  <c r="B422"/>
  <c r="C422"/>
  <c r="D422"/>
  <c r="E422"/>
  <c r="F422"/>
  <c r="G422"/>
  <c r="H422"/>
  <c r="I422"/>
  <c r="J422"/>
  <c r="A423"/>
  <c r="B423"/>
  <c r="C423"/>
  <c r="D423"/>
  <c r="E423"/>
  <c r="F423"/>
  <c r="G423"/>
  <c r="H423"/>
  <c r="I423"/>
  <c r="J423"/>
  <c r="A424"/>
  <c r="B424"/>
  <c r="C424"/>
  <c r="D424"/>
  <c r="E424"/>
  <c r="F424"/>
  <c r="G424"/>
  <c r="H424"/>
  <c r="I424"/>
  <c r="J424"/>
  <c r="A425"/>
  <c r="B425"/>
  <c r="C425"/>
  <c r="D425"/>
  <c r="E425"/>
  <c r="F425"/>
  <c r="G425"/>
  <c r="H425"/>
  <c r="I425"/>
  <c r="J425"/>
  <c r="A426"/>
  <c r="B426"/>
  <c r="C426"/>
  <c r="D426"/>
  <c r="E426"/>
  <c r="F426"/>
  <c r="G426"/>
  <c r="H426"/>
  <c r="I426"/>
  <c r="J426"/>
  <c r="A427"/>
  <c r="B427"/>
  <c r="C427"/>
  <c r="D427"/>
  <c r="E427"/>
  <c r="F427"/>
  <c r="G427"/>
  <c r="H427"/>
  <c r="I427"/>
  <c r="J427"/>
  <c r="A428"/>
  <c r="B428"/>
  <c r="C428"/>
  <c r="D428"/>
  <c r="E428"/>
  <c r="F428"/>
  <c r="G428"/>
  <c r="H428"/>
  <c r="I428"/>
  <c r="J428"/>
  <c r="A429"/>
  <c r="B429"/>
  <c r="C429"/>
  <c r="D429"/>
  <c r="E429"/>
  <c r="F429"/>
  <c r="G429"/>
  <c r="H429"/>
  <c r="I429"/>
  <c r="J429"/>
  <c r="A430"/>
  <c r="B430"/>
  <c r="C430"/>
  <c r="D430"/>
  <c r="E430"/>
  <c r="F430"/>
  <c r="G430"/>
  <c r="H430"/>
  <c r="I430"/>
  <c r="J430"/>
  <c r="A431"/>
  <c r="B431"/>
  <c r="C431"/>
  <c r="D431"/>
  <c r="E431"/>
  <c r="F431"/>
  <c r="G431"/>
  <c r="H431"/>
  <c r="I431"/>
  <c r="J431"/>
  <c r="A432"/>
  <c r="B432"/>
  <c r="C432"/>
  <c r="D432"/>
  <c r="E432"/>
  <c r="F432"/>
  <c r="G432"/>
  <c r="H432"/>
  <c r="I432"/>
  <c r="J432"/>
  <c r="A433"/>
  <c r="B433"/>
  <c r="C433"/>
  <c r="D433"/>
  <c r="E433"/>
  <c r="F433"/>
  <c r="G433"/>
  <c r="H433"/>
  <c r="I433"/>
  <c r="J433"/>
  <c r="A434"/>
  <c r="B434"/>
  <c r="C434"/>
  <c r="D434"/>
  <c r="E434"/>
  <c r="F434"/>
  <c r="G434"/>
  <c r="H434"/>
  <c r="I434"/>
  <c r="J434"/>
  <c r="A435"/>
  <c r="B435"/>
  <c r="C435"/>
  <c r="D435"/>
  <c r="E435"/>
  <c r="F435"/>
  <c r="G435"/>
  <c r="H435"/>
  <c r="I435"/>
  <c r="J435"/>
  <c r="A436"/>
  <c r="B436"/>
  <c r="C436"/>
  <c r="D436"/>
  <c r="E436"/>
  <c r="F436"/>
  <c r="G436"/>
  <c r="H436"/>
  <c r="I436"/>
  <c r="J436"/>
  <c r="A437"/>
  <c r="B437"/>
  <c r="C437"/>
  <c r="D437"/>
  <c r="E437"/>
  <c r="F437"/>
  <c r="G437"/>
  <c r="H437"/>
  <c r="I437"/>
  <c r="J437"/>
  <c r="A438"/>
  <c r="B438"/>
  <c r="C438"/>
  <c r="D438"/>
  <c r="E438"/>
  <c r="F438"/>
  <c r="G438"/>
  <c r="H438"/>
  <c r="I438"/>
  <c r="J438"/>
  <c r="A439"/>
  <c r="B439"/>
  <c r="C439"/>
  <c r="D439"/>
  <c r="E439"/>
  <c r="F439"/>
  <c r="G439"/>
  <c r="H439"/>
  <c r="I439"/>
  <c r="J439"/>
  <c r="A440"/>
  <c r="B440"/>
  <c r="C440"/>
  <c r="D440"/>
  <c r="E440"/>
  <c r="F440"/>
  <c r="G440"/>
  <c r="H440"/>
  <c r="I440"/>
  <c r="J440"/>
  <c r="A441"/>
  <c r="B441"/>
  <c r="C441"/>
  <c r="D441"/>
  <c r="E441"/>
  <c r="F441"/>
  <c r="G441"/>
  <c r="H441"/>
  <c r="I441"/>
  <c r="J441"/>
  <c r="A442"/>
  <c r="B442"/>
  <c r="C442"/>
  <c r="D442"/>
  <c r="E442"/>
  <c r="F442"/>
  <c r="G442"/>
  <c r="H442"/>
  <c r="I442"/>
  <c r="J442"/>
  <c r="A443"/>
  <c r="B443"/>
  <c r="C443"/>
  <c r="D443"/>
  <c r="E443"/>
  <c r="F443"/>
  <c r="G443"/>
  <c r="H443"/>
  <c r="I443"/>
  <c r="J443"/>
  <c r="A444"/>
  <c r="B444"/>
  <c r="C444"/>
  <c r="D444"/>
  <c r="E444"/>
  <c r="F444"/>
  <c r="G444"/>
  <c r="H444"/>
  <c r="I444"/>
  <c r="J444"/>
  <c r="A445"/>
  <c r="B445"/>
  <c r="C445"/>
  <c r="D445"/>
  <c r="E445"/>
  <c r="F445"/>
  <c r="G445"/>
  <c r="H445"/>
  <c r="I445"/>
  <c r="J445"/>
  <c r="A446"/>
  <c r="B446"/>
  <c r="C446"/>
  <c r="D446"/>
  <c r="E446"/>
  <c r="F446"/>
  <c r="G446"/>
  <c r="H446"/>
  <c r="I446"/>
  <c r="J446"/>
  <c r="A447"/>
  <c r="B447"/>
  <c r="C447"/>
  <c r="D447"/>
  <c r="E447"/>
  <c r="F447"/>
  <c r="G447"/>
  <c r="H447"/>
  <c r="I447"/>
  <c r="J447"/>
  <c r="A448"/>
  <c r="B448"/>
  <c r="C448"/>
  <c r="D448"/>
  <c r="E448"/>
  <c r="F448"/>
  <c r="G448"/>
  <c r="H448"/>
  <c r="I448"/>
  <c r="J448"/>
  <c r="A449"/>
  <c r="B449"/>
  <c r="C449"/>
  <c r="D449"/>
  <c r="E449"/>
  <c r="F449"/>
  <c r="G449"/>
  <c r="H449"/>
  <c r="I449"/>
  <c r="J449"/>
  <c r="A450"/>
  <c r="B450"/>
  <c r="C450"/>
  <c r="D450"/>
  <c r="E450"/>
  <c r="F450"/>
  <c r="G450"/>
  <c r="H450"/>
  <c r="I450"/>
  <c r="J450"/>
  <c r="A451"/>
  <c r="B451"/>
  <c r="C451"/>
  <c r="D451"/>
  <c r="E451"/>
  <c r="F451"/>
  <c r="G451"/>
  <c r="H451"/>
  <c r="I451"/>
  <c r="J451"/>
  <c r="A452"/>
  <c r="B452"/>
  <c r="C452"/>
  <c r="D452"/>
  <c r="E452"/>
  <c r="F452"/>
  <c r="G452"/>
  <c r="H452"/>
  <c r="I452"/>
  <c r="J452"/>
  <c r="A453"/>
  <c r="B453"/>
  <c r="C453"/>
  <c r="D453"/>
  <c r="E453"/>
  <c r="F453"/>
  <c r="G453"/>
  <c r="H453"/>
  <c r="I453"/>
  <c r="J453"/>
  <c r="A454"/>
  <c r="B454"/>
  <c r="C454"/>
  <c r="D454"/>
  <c r="E454"/>
  <c r="F454"/>
  <c r="G454"/>
  <c r="H454"/>
  <c r="I454"/>
  <c r="J454"/>
  <c r="A455"/>
  <c r="B455"/>
  <c r="C455"/>
  <c r="D455"/>
  <c r="E455"/>
  <c r="F455"/>
  <c r="G455"/>
  <c r="H455"/>
  <c r="I455"/>
  <c r="J455"/>
  <c r="A456"/>
  <c r="B456"/>
  <c r="C456"/>
  <c r="D456"/>
  <c r="E456"/>
  <c r="F456"/>
  <c r="G456"/>
  <c r="H456"/>
  <c r="I456"/>
  <c r="J456"/>
  <c r="A457"/>
  <c r="B457"/>
  <c r="C457"/>
  <c r="D457"/>
  <c r="E457"/>
  <c r="F457"/>
  <c r="G457"/>
  <c r="H457"/>
  <c r="I457"/>
  <c r="J457"/>
  <c r="A458"/>
  <c r="B458"/>
  <c r="C458"/>
  <c r="D458"/>
  <c r="E458"/>
  <c r="F458"/>
  <c r="G458"/>
  <c r="H458"/>
  <c r="I458"/>
  <c r="J458"/>
  <c r="A459"/>
  <c r="B459"/>
  <c r="C459"/>
  <c r="D459"/>
  <c r="E459"/>
  <c r="F459"/>
  <c r="G459"/>
  <c r="H459"/>
  <c r="I459"/>
  <c r="J459"/>
  <c r="A460"/>
  <c r="B460"/>
  <c r="C460"/>
  <c r="D460"/>
  <c r="E460"/>
  <c r="F460"/>
  <c r="G460"/>
  <c r="H460"/>
  <c r="I460"/>
  <c r="J460"/>
  <c r="A461"/>
  <c r="B461"/>
  <c r="C461"/>
  <c r="D461"/>
  <c r="E461"/>
  <c r="F461"/>
  <c r="G461"/>
  <c r="H461"/>
  <c r="I461"/>
  <c r="J461"/>
  <c r="A462"/>
  <c r="B462"/>
  <c r="C462"/>
  <c r="D462"/>
  <c r="E462"/>
  <c r="F462"/>
  <c r="G462"/>
  <c r="H462"/>
  <c r="I462"/>
  <c r="J462"/>
  <c r="A463"/>
  <c r="B463"/>
  <c r="C463"/>
  <c r="D463"/>
  <c r="E463"/>
  <c r="F463"/>
  <c r="G463"/>
  <c r="H463"/>
  <c r="I463"/>
  <c r="J463"/>
  <c r="A464"/>
  <c r="B464"/>
  <c r="C464"/>
  <c r="D464"/>
  <c r="E464"/>
  <c r="F464"/>
  <c r="G464"/>
  <c r="H464"/>
  <c r="I464"/>
  <c r="J464"/>
  <c r="A465"/>
  <c r="B465"/>
  <c r="C465"/>
  <c r="D465"/>
  <c r="E465"/>
  <c r="F465"/>
  <c r="G465"/>
  <c r="H465"/>
  <c r="I465"/>
  <c r="J465"/>
  <c r="A466"/>
  <c r="B466"/>
  <c r="C466"/>
  <c r="D466"/>
  <c r="E466"/>
  <c r="F466"/>
  <c r="G466"/>
  <c r="H466"/>
  <c r="I466"/>
  <c r="J466"/>
  <c r="A467"/>
  <c r="B467"/>
  <c r="C467"/>
  <c r="D467"/>
  <c r="E467"/>
  <c r="F467"/>
  <c r="G467"/>
  <c r="H467"/>
  <c r="I467"/>
  <c r="J467"/>
  <c r="A468"/>
  <c r="B468"/>
  <c r="C468"/>
  <c r="D468"/>
  <c r="E468"/>
  <c r="F468"/>
  <c r="G468"/>
  <c r="H468"/>
  <c r="I468"/>
  <c r="J468"/>
  <c r="A469"/>
  <c r="B469"/>
  <c r="C469"/>
  <c r="D469"/>
  <c r="E469"/>
  <c r="F469"/>
  <c r="G469"/>
  <c r="H469"/>
  <c r="I469"/>
  <c r="J469"/>
  <c r="A470"/>
  <c r="B470"/>
  <c r="C470"/>
  <c r="D470"/>
  <c r="E470"/>
  <c r="F470"/>
  <c r="G470"/>
  <c r="H470"/>
  <c r="I470"/>
  <c r="J470"/>
  <c r="A471"/>
  <c r="B471"/>
  <c r="C471"/>
  <c r="D471"/>
  <c r="E471"/>
  <c r="F471"/>
  <c r="G471"/>
  <c r="H471"/>
  <c r="I471"/>
  <c r="J471"/>
  <c r="A472"/>
  <c r="B472"/>
  <c r="C472"/>
  <c r="D472"/>
  <c r="E472"/>
  <c r="F472"/>
  <c r="G472"/>
  <c r="H472"/>
  <c r="I472"/>
  <c r="J472"/>
  <c r="A473"/>
  <c r="B473"/>
  <c r="C473"/>
  <c r="D473"/>
  <c r="E473"/>
  <c r="F473"/>
  <c r="G473"/>
  <c r="H473"/>
  <c r="I473"/>
  <c r="J473"/>
  <c r="A474"/>
  <c r="B474"/>
  <c r="C474"/>
  <c r="D474"/>
  <c r="E474"/>
  <c r="F474"/>
  <c r="G474"/>
  <c r="H474"/>
  <c r="I474"/>
  <c r="J474"/>
  <c r="A475"/>
  <c r="B475"/>
  <c r="C475"/>
  <c r="D475"/>
  <c r="E475"/>
  <c r="F475"/>
  <c r="G475"/>
  <c r="H475"/>
  <c r="I475"/>
  <c r="J475"/>
  <c r="A476"/>
  <c r="B476"/>
  <c r="C476"/>
  <c r="D476"/>
  <c r="E476"/>
  <c r="F476"/>
  <c r="G476"/>
  <c r="H476"/>
  <c r="I476"/>
  <c r="J476"/>
  <c r="A477"/>
  <c r="B477"/>
  <c r="C477"/>
  <c r="D477"/>
  <c r="E477"/>
  <c r="F477"/>
  <c r="G477"/>
  <c r="H477"/>
  <c r="I477"/>
  <c r="J477"/>
  <c r="A478"/>
  <c r="B478"/>
  <c r="C478"/>
  <c r="D478"/>
  <c r="E478"/>
  <c r="F478"/>
  <c r="G478"/>
  <c r="H478"/>
  <c r="I478"/>
  <c r="J478"/>
  <c r="A479"/>
  <c r="B479"/>
  <c r="C479"/>
  <c r="D479"/>
  <c r="E479"/>
  <c r="F479"/>
  <c r="G479"/>
  <c r="H479"/>
  <c r="I479"/>
  <c r="J479"/>
  <c r="A480"/>
  <c r="B480"/>
  <c r="C480"/>
  <c r="D480"/>
  <c r="E480"/>
  <c r="F480"/>
  <c r="G480"/>
  <c r="H480"/>
  <c r="I480"/>
  <c r="J480"/>
  <c r="A481"/>
  <c r="B481"/>
  <c r="C481"/>
  <c r="D481"/>
  <c r="E481"/>
  <c r="F481"/>
  <c r="G481"/>
  <c r="H481"/>
  <c r="I481"/>
  <c r="J481"/>
  <c r="A482"/>
  <c r="B482"/>
  <c r="C482"/>
  <c r="D482"/>
  <c r="E482"/>
  <c r="F482"/>
  <c r="G482"/>
  <c r="H482"/>
  <c r="I482"/>
  <c r="J482"/>
  <c r="A483"/>
  <c r="B483"/>
  <c r="C483"/>
  <c r="D483"/>
  <c r="E483"/>
  <c r="F483"/>
  <c r="G483"/>
  <c r="H483"/>
  <c r="I483"/>
  <c r="J483"/>
  <c r="A484"/>
  <c r="B484"/>
  <c r="C484"/>
  <c r="D484"/>
  <c r="E484"/>
  <c r="F484"/>
  <c r="G484"/>
  <c r="H484"/>
  <c r="I484"/>
  <c r="J484"/>
  <c r="A485"/>
  <c r="B485"/>
  <c r="C485"/>
  <c r="D485"/>
  <c r="E485"/>
  <c r="F485"/>
  <c r="G485"/>
  <c r="H485"/>
  <c r="I485"/>
  <c r="J485"/>
  <c r="A486"/>
  <c r="B486"/>
  <c r="C486"/>
  <c r="D486"/>
  <c r="E486"/>
  <c r="F486"/>
  <c r="G486"/>
  <c r="H486"/>
  <c r="I486"/>
  <c r="J486"/>
  <c r="A487"/>
  <c r="B487"/>
  <c r="C487"/>
  <c r="D487"/>
  <c r="E487"/>
  <c r="F487"/>
  <c r="G487"/>
  <c r="H487"/>
  <c r="I487"/>
  <c r="J487"/>
  <c r="A488"/>
  <c r="B488"/>
  <c r="C488"/>
  <c r="D488"/>
  <c r="E488"/>
  <c r="F488"/>
  <c r="G488"/>
  <c r="H488"/>
  <c r="I488"/>
  <c r="J488"/>
  <c r="A489"/>
  <c r="B489"/>
  <c r="C489"/>
  <c r="D489"/>
  <c r="E489"/>
  <c r="F489"/>
  <c r="G489"/>
  <c r="H489"/>
  <c r="I489"/>
  <c r="J489"/>
  <c r="A490"/>
  <c r="B490"/>
  <c r="C490"/>
  <c r="D490"/>
  <c r="E490"/>
  <c r="F490"/>
  <c r="G490"/>
  <c r="H490"/>
  <c r="I490"/>
  <c r="J490"/>
  <c r="A491"/>
  <c r="B491"/>
  <c r="C491"/>
  <c r="D491"/>
  <c r="E491"/>
  <c r="F491"/>
  <c r="G491"/>
  <c r="H491"/>
  <c r="I491"/>
  <c r="J491"/>
  <c r="A492"/>
  <c r="B492"/>
  <c r="C492"/>
  <c r="D492"/>
  <c r="E492"/>
  <c r="F492"/>
  <c r="G492"/>
  <c r="H492"/>
  <c r="I492"/>
  <c r="J492"/>
  <c r="A493"/>
  <c r="B493"/>
  <c r="C493"/>
  <c r="D493"/>
  <c r="E493"/>
  <c r="F493"/>
  <c r="G493"/>
  <c r="H493"/>
  <c r="I493"/>
  <c r="J493"/>
  <c r="A494"/>
  <c r="B494"/>
  <c r="C494"/>
  <c r="D494"/>
  <c r="E494"/>
  <c r="F494"/>
  <c r="G494"/>
  <c r="H494"/>
  <c r="I494"/>
  <c r="J494"/>
  <c r="A495"/>
  <c r="B495"/>
  <c r="C495"/>
  <c r="D495"/>
  <c r="E495"/>
  <c r="F495"/>
  <c r="G495"/>
  <c r="H495"/>
  <c r="I495"/>
  <c r="J495"/>
  <c r="A496"/>
  <c r="B496"/>
  <c r="C496"/>
  <c r="D496"/>
  <c r="E496"/>
  <c r="F496"/>
  <c r="G496"/>
  <c r="H496"/>
  <c r="I496"/>
  <c r="J496"/>
  <c r="A497"/>
  <c r="B497"/>
  <c r="C497"/>
  <c r="D497"/>
  <c r="E497"/>
  <c r="F497"/>
  <c r="G497"/>
  <c r="H497"/>
  <c r="I497"/>
  <c r="J497"/>
  <c r="A498"/>
  <c r="B498"/>
  <c r="C498"/>
  <c r="D498"/>
  <c r="E498"/>
  <c r="F498"/>
  <c r="G498"/>
  <c r="H498"/>
  <c r="I498"/>
  <c r="J498"/>
  <c r="A499"/>
  <c r="B499"/>
  <c r="C499"/>
  <c r="D499"/>
  <c r="E499"/>
  <c r="F499"/>
  <c r="G499"/>
  <c r="H499"/>
  <c r="I499"/>
  <c r="J499"/>
  <c r="A500"/>
  <c r="B500"/>
  <c r="C500"/>
  <c r="D500"/>
  <c r="E500"/>
  <c r="F500"/>
  <c r="G500"/>
  <c r="H500"/>
  <c r="I500"/>
  <c r="J500"/>
  <c r="A501"/>
  <c r="B501"/>
  <c r="C501"/>
  <c r="D501"/>
  <c r="E501"/>
  <c r="F501"/>
  <c r="G501"/>
  <c r="H501"/>
  <c r="I501"/>
  <c r="J501"/>
  <c r="A502"/>
  <c r="B502"/>
  <c r="C502"/>
  <c r="D502"/>
  <c r="E502"/>
  <c r="F502"/>
  <c r="G502"/>
  <c r="H502"/>
  <c r="I502"/>
  <c r="J502"/>
  <c r="A503"/>
  <c r="B503"/>
  <c r="C503"/>
  <c r="D503"/>
  <c r="E503"/>
  <c r="F503"/>
  <c r="G503"/>
  <c r="H503"/>
  <c r="I503"/>
  <c r="J503"/>
  <c r="A504"/>
  <c r="B504"/>
  <c r="C504"/>
  <c r="D504"/>
  <c r="E504"/>
  <c r="F504"/>
  <c r="G504"/>
  <c r="H504"/>
  <c r="I504"/>
  <c r="J504"/>
  <c r="A505"/>
  <c r="B505"/>
  <c r="C505"/>
  <c r="D505"/>
  <c r="E505"/>
  <c r="F505"/>
  <c r="G505"/>
  <c r="H505"/>
  <c r="I505"/>
  <c r="J505"/>
  <c r="A506"/>
  <c r="B506"/>
  <c r="C506"/>
  <c r="D506"/>
  <c r="E506"/>
  <c r="F506"/>
  <c r="G506"/>
  <c r="H506"/>
  <c r="I506"/>
  <c r="J506"/>
  <c r="A507"/>
  <c r="B507"/>
  <c r="C507"/>
  <c r="D507"/>
  <c r="E507"/>
  <c r="F507"/>
  <c r="G507"/>
  <c r="H507"/>
  <c r="I507"/>
  <c r="J507"/>
  <c r="A508"/>
  <c r="B508"/>
  <c r="C508"/>
  <c r="D508"/>
  <c r="E508"/>
  <c r="F508"/>
  <c r="G508"/>
  <c r="H508"/>
  <c r="I508"/>
  <c r="J508"/>
  <c r="A509"/>
  <c r="B509"/>
  <c r="C509"/>
  <c r="D509"/>
  <c r="E509"/>
  <c r="F509"/>
  <c r="G509"/>
  <c r="H509"/>
  <c r="I509"/>
  <c r="J509"/>
  <c r="A510"/>
  <c r="B510"/>
  <c r="C510"/>
  <c r="D510"/>
  <c r="E510"/>
  <c r="F510"/>
  <c r="G510"/>
  <c r="H510"/>
  <c r="I510"/>
  <c r="J510"/>
  <c r="A511"/>
  <c r="B511"/>
  <c r="C511"/>
  <c r="D511"/>
  <c r="E511"/>
  <c r="F511"/>
  <c r="G511"/>
  <c r="H511"/>
  <c r="I511"/>
  <c r="J511"/>
  <c r="A512"/>
  <c r="B512"/>
  <c r="C512"/>
  <c r="D512"/>
  <c r="E512"/>
  <c r="F512"/>
  <c r="G512"/>
  <c r="H512"/>
  <c r="I512"/>
  <c r="J512"/>
  <c r="A513"/>
  <c r="B513"/>
  <c r="C513"/>
  <c r="D513"/>
  <c r="E513"/>
  <c r="F513"/>
  <c r="G513"/>
  <c r="H513"/>
  <c r="I513"/>
  <c r="J513"/>
  <c r="A514"/>
  <c r="B514"/>
  <c r="C514"/>
  <c r="D514"/>
  <c r="E514"/>
  <c r="F514"/>
  <c r="G514"/>
  <c r="H514"/>
  <c r="I514"/>
  <c r="J514"/>
  <c r="A515"/>
  <c r="B515"/>
  <c r="C515"/>
  <c r="D515"/>
  <c r="E515"/>
  <c r="F515"/>
  <c r="G515"/>
  <c r="H515"/>
  <c r="I515"/>
  <c r="J515"/>
  <c r="A516"/>
  <c r="B516"/>
  <c r="C516"/>
  <c r="D516"/>
  <c r="E516"/>
  <c r="F516"/>
  <c r="G516"/>
  <c r="H516"/>
  <c r="I516"/>
  <c r="J516"/>
  <c r="A517"/>
  <c r="B517"/>
  <c r="C517"/>
  <c r="D517"/>
  <c r="E517"/>
  <c r="F517"/>
  <c r="G517"/>
  <c r="H517"/>
  <c r="I517"/>
  <c r="J517"/>
  <c r="A518"/>
  <c r="B518"/>
  <c r="C518"/>
  <c r="D518"/>
  <c r="E518"/>
  <c r="F518"/>
  <c r="G518"/>
  <c r="H518"/>
  <c r="I518"/>
  <c r="J518"/>
  <c r="A519"/>
  <c r="B519"/>
  <c r="C519"/>
  <c r="D519"/>
  <c r="E519"/>
  <c r="F519"/>
  <c r="G519"/>
  <c r="H519"/>
  <c r="I519"/>
  <c r="J519"/>
  <c r="A520"/>
  <c r="B520"/>
  <c r="C520"/>
  <c r="D520"/>
  <c r="E520"/>
  <c r="F520"/>
  <c r="G520"/>
  <c r="H520"/>
  <c r="I520"/>
  <c r="J520"/>
  <c r="A521"/>
  <c r="B521"/>
  <c r="C521"/>
  <c r="D521"/>
  <c r="E521"/>
  <c r="F521"/>
  <c r="G521"/>
  <c r="H521"/>
  <c r="I521"/>
  <c r="J521"/>
  <c r="A522"/>
  <c r="B522"/>
  <c r="C522"/>
  <c r="D522"/>
  <c r="E522"/>
  <c r="F522"/>
  <c r="G522"/>
  <c r="H522"/>
  <c r="I522"/>
  <c r="J522"/>
  <c r="A523"/>
  <c r="B523"/>
  <c r="C523"/>
  <c r="D523"/>
  <c r="E523"/>
  <c r="F523"/>
  <c r="G523"/>
  <c r="H523"/>
  <c r="I523"/>
  <c r="J523"/>
  <c r="A524"/>
  <c r="B524"/>
  <c r="C524"/>
  <c r="D524"/>
  <c r="E524"/>
  <c r="F524"/>
  <c r="G524"/>
  <c r="H524"/>
  <c r="I524"/>
  <c r="J524"/>
  <c r="A525"/>
  <c r="B525"/>
  <c r="C525"/>
  <c r="D525"/>
  <c r="E525"/>
  <c r="F525"/>
  <c r="G525"/>
  <c r="H525"/>
  <c r="I525"/>
  <c r="J525"/>
  <c r="A526"/>
  <c r="B526"/>
  <c r="C526"/>
  <c r="D526"/>
  <c r="E526"/>
  <c r="F526"/>
  <c r="G526"/>
  <c r="H526"/>
  <c r="I526"/>
  <c r="J526"/>
  <c r="A527"/>
  <c r="B527"/>
  <c r="C527"/>
  <c r="D527"/>
  <c r="E527"/>
  <c r="F527"/>
  <c r="G527"/>
  <c r="H527"/>
  <c r="I527"/>
  <c r="J527"/>
  <c r="A528"/>
  <c r="B528"/>
  <c r="C528"/>
  <c r="D528"/>
  <c r="E528"/>
  <c r="F528"/>
  <c r="G528"/>
  <c r="H528"/>
  <c r="I528"/>
  <c r="J528"/>
  <c r="A529"/>
  <c r="B529"/>
  <c r="C529"/>
  <c r="D529"/>
  <c r="E529"/>
  <c r="F529"/>
  <c r="G529"/>
  <c r="H529"/>
  <c r="I529"/>
  <c r="J529"/>
  <c r="A530"/>
  <c r="B530"/>
  <c r="C530"/>
  <c r="D530"/>
  <c r="E530"/>
  <c r="F530"/>
  <c r="G530"/>
  <c r="H530"/>
  <c r="I530"/>
  <c r="J530"/>
  <c r="A531"/>
  <c r="B531"/>
  <c r="C531"/>
  <c r="D531"/>
  <c r="E531"/>
  <c r="F531"/>
  <c r="G531"/>
  <c r="H531"/>
  <c r="I531"/>
  <c r="J531"/>
  <c r="A532"/>
  <c r="B532"/>
  <c r="C532"/>
  <c r="D532"/>
  <c r="E532"/>
  <c r="F532"/>
  <c r="G532"/>
  <c r="H532"/>
  <c r="I532"/>
  <c r="J532"/>
  <c r="A533"/>
  <c r="B533"/>
  <c r="C533"/>
  <c r="D533"/>
  <c r="E533"/>
  <c r="F533"/>
  <c r="G533"/>
  <c r="H533"/>
  <c r="I533"/>
  <c r="J533"/>
  <c r="A534"/>
  <c r="B534"/>
  <c r="C534"/>
  <c r="D534"/>
  <c r="E534"/>
  <c r="F534"/>
  <c r="G534"/>
  <c r="H534"/>
  <c r="I534"/>
  <c r="J534"/>
  <c r="A535"/>
  <c r="B535"/>
  <c r="C535"/>
  <c r="D535"/>
  <c r="E535"/>
  <c r="F535"/>
  <c r="G535"/>
  <c r="H535"/>
  <c r="I535"/>
  <c r="J535"/>
  <c r="A536"/>
  <c r="B536"/>
  <c r="C536"/>
  <c r="D536"/>
  <c r="E536"/>
  <c r="F536"/>
  <c r="G536"/>
  <c r="H536"/>
  <c r="I536"/>
  <c r="J536"/>
  <c r="A537"/>
  <c r="B537"/>
  <c r="C537"/>
  <c r="D537"/>
  <c r="E537"/>
  <c r="F537"/>
  <c r="G537"/>
  <c r="H537"/>
  <c r="I537"/>
  <c r="J537"/>
  <c r="A538"/>
  <c r="B538"/>
  <c r="C538"/>
  <c r="D538"/>
  <c r="E538"/>
  <c r="F538"/>
  <c r="G538"/>
  <c r="H538"/>
  <c r="I538"/>
  <c r="J538"/>
  <c r="A539"/>
  <c r="B539"/>
  <c r="C539"/>
  <c r="D539"/>
  <c r="E539"/>
  <c r="F539"/>
  <c r="G539"/>
  <c r="H539"/>
  <c r="I539"/>
  <c r="J539"/>
  <c r="A540"/>
  <c r="B540"/>
  <c r="C540"/>
  <c r="D540"/>
  <c r="E540"/>
  <c r="F540"/>
  <c r="G540"/>
  <c r="H540"/>
  <c r="I540"/>
  <c r="J540"/>
  <c r="A541"/>
  <c r="B541"/>
  <c r="C541"/>
  <c r="D541"/>
  <c r="E541"/>
  <c r="F541"/>
  <c r="G541"/>
  <c r="H541"/>
  <c r="I541"/>
  <c r="J541"/>
  <c r="A542"/>
  <c r="B542"/>
  <c r="C542"/>
  <c r="D542"/>
  <c r="E542"/>
  <c r="F542"/>
  <c r="G542"/>
  <c r="H542"/>
  <c r="I542"/>
  <c r="J542"/>
  <c r="A543"/>
  <c r="B543"/>
  <c r="C543"/>
  <c r="D543"/>
  <c r="E543"/>
  <c r="F543"/>
  <c r="G543"/>
  <c r="H543"/>
  <c r="I543"/>
  <c r="J543"/>
  <c r="A544"/>
  <c r="B544"/>
  <c r="C544"/>
  <c r="D544"/>
  <c r="E544"/>
  <c r="F544"/>
  <c r="G544"/>
  <c r="H544"/>
  <c r="I544"/>
  <c r="J544"/>
  <c r="A545"/>
  <c r="B545"/>
  <c r="C545"/>
  <c r="D545"/>
  <c r="E545"/>
  <c r="F545"/>
  <c r="G545"/>
  <c r="H545"/>
  <c r="I545"/>
  <c r="J545"/>
  <c r="A546"/>
  <c r="B546"/>
  <c r="C546"/>
  <c r="D546"/>
  <c r="E546"/>
  <c r="F546"/>
  <c r="G546"/>
  <c r="H546"/>
  <c r="I546"/>
  <c r="J546"/>
  <c r="A547"/>
  <c r="B547"/>
  <c r="C547"/>
  <c r="D547"/>
  <c r="E547"/>
  <c r="F547"/>
  <c r="G547"/>
  <c r="H547"/>
  <c r="I547"/>
  <c r="J547"/>
  <c r="A548"/>
  <c r="B548"/>
  <c r="C548"/>
  <c r="D548"/>
  <c r="E548"/>
  <c r="F548"/>
  <c r="G548"/>
  <c r="H548"/>
  <c r="I548"/>
  <c r="J548"/>
  <c r="A549"/>
  <c r="B549"/>
  <c r="C549"/>
  <c r="D549"/>
  <c r="E549"/>
  <c r="F549"/>
  <c r="G549"/>
  <c r="H549"/>
  <c r="I549"/>
  <c r="J549"/>
  <c r="A550"/>
  <c r="B550"/>
  <c r="C550"/>
  <c r="D550"/>
  <c r="E550"/>
  <c r="F550"/>
  <c r="G550"/>
  <c r="H550"/>
  <c r="I550"/>
  <c r="J550"/>
  <c r="A551"/>
  <c r="B551"/>
  <c r="C551"/>
  <c r="D551"/>
  <c r="E551"/>
  <c r="F551"/>
  <c r="G551"/>
  <c r="H551"/>
  <c r="I551"/>
  <c r="J551"/>
  <c r="A552"/>
  <c r="B552"/>
  <c r="C552"/>
  <c r="D552"/>
  <c r="E552"/>
  <c r="F552"/>
  <c r="G552"/>
  <c r="H552"/>
  <c r="I552"/>
  <c r="J552"/>
  <c r="A553"/>
  <c r="B553"/>
  <c r="C553"/>
  <c r="D553"/>
  <c r="E553"/>
  <c r="F553"/>
  <c r="G553"/>
  <c r="H553"/>
  <c r="I553"/>
  <c r="J553"/>
  <c r="A554"/>
  <c r="B554"/>
  <c r="C554"/>
  <c r="D554"/>
  <c r="E554"/>
  <c r="F554"/>
  <c r="G554"/>
  <c r="H554"/>
  <c r="I554"/>
  <c r="J554"/>
  <c r="A555"/>
  <c r="B555"/>
  <c r="C555"/>
  <c r="D555"/>
  <c r="E555"/>
  <c r="F555"/>
  <c r="G555"/>
  <c r="H555"/>
  <c r="I555"/>
  <c r="J555"/>
  <c r="A556"/>
  <c r="B556"/>
  <c r="C556"/>
  <c r="D556"/>
  <c r="E556"/>
  <c r="F556"/>
  <c r="G556"/>
  <c r="H556"/>
  <c r="I556"/>
  <c r="J556"/>
  <c r="A557"/>
  <c r="B557"/>
  <c r="C557"/>
  <c r="D557"/>
  <c r="E557"/>
  <c r="F557"/>
  <c r="G557"/>
  <c r="H557"/>
  <c r="I557"/>
  <c r="J557"/>
  <c r="A558"/>
  <c r="B558"/>
  <c r="C558"/>
  <c r="D558"/>
  <c r="E558"/>
  <c r="F558"/>
  <c r="G558"/>
  <c r="H558"/>
  <c r="I558"/>
  <c r="J558"/>
  <c r="A559"/>
  <c r="B559"/>
  <c r="C559"/>
  <c r="D559"/>
  <c r="E559"/>
  <c r="F559"/>
  <c r="G559"/>
  <c r="H559"/>
  <c r="I559"/>
  <c r="J559"/>
  <c r="A560"/>
  <c r="B560"/>
  <c r="C560"/>
  <c r="D560"/>
  <c r="E560"/>
  <c r="F560"/>
  <c r="G560"/>
  <c r="H560"/>
  <c r="I560"/>
  <c r="J560"/>
  <c r="A561"/>
  <c r="B561"/>
  <c r="C561"/>
  <c r="D561"/>
  <c r="E561"/>
  <c r="F561"/>
  <c r="G561"/>
  <c r="H561"/>
  <c r="I561"/>
  <c r="J561"/>
  <c r="A562"/>
  <c r="B562"/>
  <c r="C562"/>
  <c r="D562"/>
  <c r="E562"/>
  <c r="F562"/>
  <c r="G562"/>
  <c r="H562"/>
  <c r="I562"/>
  <c r="J562"/>
  <c r="A563"/>
  <c r="B563"/>
  <c r="C563"/>
  <c r="D563"/>
  <c r="E563"/>
  <c r="F563"/>
  <c r="G563"/>
  <c r="H563"/>
  <c r="I563"/>
  <c r="J563"/>
  <c r="A564"/>
  <c r="B564"/>
  <c r="C564"/>
  <c r="D564"/>
  <c r="E564"/>
  <c r="F564"/>
  <c r="G564"/>
  <c r="H564"/>
  <c r="I564"/>
  <c r="J564"/>
  <c r="A565"/>
  <c r="B565"/>
  <c r="C565"/>
  <c r="D565"/>
  <c r="E565"/>
  <c r="F565"/>
  <c r="G565"/>
  <c r="H565"/>
  <c r="I565"/>
  <c r="J565"/>
  <c r="A566"/>
  <c r="B566"/>
  <c r="C566"/>
  <c r="D566"/>
  <c r="E566"/>
  <c r="F566"/>
  <c r="G566"/>
  <c r="H566"/>
  <c r="I566"/>
  <c r="J566"/>
  <c r="A567"/>
  <c r="B567"/>
  <c r="C567"/>
  <c r="D567"/>
  <c r="E567"/>
  <c r="F567"/>
  <c r="G567"/>
  <c r="H567"/>
  <c r="I567"/>
  <c r="J567"/>
  <c r="A568"/>
  <c r="B568"/>
  <c r="C568"/>
  <c r="D568"/>
  <c r="E568"/>
  <c r="F568"/>
  <c r="G568"/>
  <c r="H568"/>
  <c r="I568"/>
  <c r="J568"/>
  <c r="A569"/>
  <c r="B569"/>
  <c r="C569"/>
  <c r="D569"/>
  <c r="E569"/>
  <c r="F569"/>
  <c r="G569"/>
  <c r="H569"/>
  <c r="I569"/>
  <c r="J569"/>
  <c r="A570"/>
  <c r="B570"/>
  <c r="C570"/>
  <c r="D570"/>
  <c r="E570"/>
  <c r="F570"/>
  <c r="G570"/>
  <c r="H570"/>
  <c r="I570"/>
  <c r="J570"/>
  <c r="A571"/>
  <c r="B571"/>
  <c r="C571"/>
  <c r="D571"/>
  <c r="E571"/>
  <c r="F571"/>
  <c r="G571"/>
  <c r="H571"/>
  <c r="I571"/>
  <c r="J571"/>
  <c r="A572"/>
  <c r="B572"/>
  <c r="C572"/>
  <c r="D572"/>
  <c r="E572"/>
  <c r="F572"/>
  <c r="G572"/>
  <c r="H572"/>
  <c r="I572"/>
  <c r="J572"/>
  <c r="A573"/>
  <c r="B573"/>
  <c r="C573"/>
  <c r="D573"/>
  <c r="E573"/>
  <c r="F573"/>
  <c r="G573"/>
  <c r="H573"/>
  <c r="I573"/>
  <c r="J573"/>
  <c r="A574"/>
  <c r="B574"/>
  <c r="C574"/>
  <c r="D574"/>
  <c r="E574"/>
  <c r="F574"/>
  <c r="G574"/>
  <c r="H574"/>
  <c r="I574"/>
  <c r="J574"/>
  <c r="A575"/>
  <c r="B575"/>
  <c r="C575"/>
  <c r="D575"/>
  <c r="E575"/>
  <c r="F575"/>
  <c r="G575"/>
  <c r="H575"/>
  <c r="I575"/>
  <c r="J575"/>
  <c r="A576"/>
  <c r="B576"/>
  <c r="C576"/>
  <c r="D576"/>
  <c r="E576"/>
  <c r="F576"/>
  <c r="G576"/>
  <c r="H576"/>
  <c r="I576"/>
  <c r="J576"/>
  <c r="A577"/>
  <c r="B577"/>
  <c r="C577"/>
  <c r="D577"/>
  <c r="E577"/>
  <c r="F577"/>
  <c r="G577"/>
  <c r="H577"/>
  <c r="I577"/>
  <c r="J577"/>
  <c r="A578"/>
  <c r="B578"/>
  <c r="C578"/>
  <c r="D578"/>
  <c r="E578"/>
  <c r="F578"/>
  <c r="G578"/>
  <c r="H578"/>
  <c r="I578"/>
  <c r="J578"/>
  <c r="A579"/>
  <c r="B579"/>
  <c r="C579"/>
  <c r="D579"/>
  <c r="E579"/>
  <c r="F579"/>
  <c r="G579"/>
  <c r="H579"/>
  <c r="I579"/>
  <c r="J579"/>
  <c r="A580"/>
  <c r="B580"/>
  <c r="C580"/>
  <c r="D580"/>
  <c r="E580"/>
  <c r="F580"/>
  <c r="G580"/>
  <c r="H580"/>
  <c r="I580"/>
  <c r="J580"/>
  <c r="A581"/>
  <c r="B581"/>
  <c r="C581"/>
  <c r="D581"/>
  <c r="E581"/>
  <c r="F581"/>
  <c r="G581"/>
  <c r="H581"/>
  <c r="I581"/>
  <c r="J581"/>
  <c r="A582"/>
  <c r="B582"/>
  <c r="C582"/>
  <c r="D582"/>
  <c r="E582"/>
  <c r="F582"/>
  <c r="G582"/>
  <c r="H582"/>
  <c r="I582"/>
  <c r="J582"/>
  <c r="A583"/>
  <c r="B583"/>
  <c r="C583"/>
  <c r="D583"/>
  <c r="E583"/>
  <c r="F583"/>
  <c r="G583"/>
  <c r="H583"/>
  <c r="I583"/>
  <c r="J583"/>
  <c r="A584"/>
  <c r="B584"/>
  <c r="C584"/>
  <c r="D584"/>
  <c r="E584"/>
  <c r="F584"/>
  <c r="G584"/>
  <c r="H584"/>
  <c r="I584"/>
  <c r="J584"/>
  <c r="A585"/>
  <c r="B585"/>
  <c r="C585"/>
  <c r="D585"/>
  <c r="E585"/>
  <c r="F585"/>
  <c r="G585"/>
  <c r="H585"/>
  <c r="I585"/>
  <c r="J585"/>
  <c r="A586"/>
  <c r="B586"/>
  <c r="C586"/>
  <c r="D586"/>
  <c r="E586"/>
  <c r="F586"/>
  <c r="G586"/>
  <c r="H586"/>
  <c r="I586"/>
  <c r="J586"/>
  <c r="A587"/>
  <c r="B587"/>
  <c r="C587"/>
  <c r="D587"/>
  <c r="E587"/>
  <c r="F587"/>
  <c r="G587"/>
  <c r="H587"/>
  <c r="I587"/>
  <c r="J587"/>
  <c r="A588"/>
  <c r="B588"/>
  <c r="C588"/>
  <c r="D588"/>
  <c r="E588"/>
  <c r="F588"/>
  <c r="G588"/>
  <c r="H588"/>
  <c r="I588"/>
  <c r="J588"/>
  <c r="A589"/>
  <c r="B589"/>
  <c r="C589"/>
  <c r="D589"/>
  <c r="E589"/>
  <c r="F589"/>
  <c r="G589"/>
  <c r="H589"/>
  <c r="I589"/>
  <c r="J589"/>
  <c r="A590"/>
  <c r="B590"/>
  <c r="C590"/>
  <c r="D590"/>
  <c r="E590"/>
  <c r="F590"/>
  <c r="G590"/>
  <c r="H590"/>
  <c r="I590"/>
  <c r="J590"/>
  <c r="A591"/>
  <c r="B591"/>
  <c r="C591"/>
  <c r="D591"/>
  <c r="E591"/>
  <c r="F591"/>
  <c r="G591"/>
  <c r="H591"/>
  <c r="I591"/>
  <c r="J591"/>
  <c r="A592"/>
  <c r="B592"/>
  <c r="C592"/>
  <c r="D592"/>
  <c r="E592"/>
  <c r="F592"/>
  <c r="G592"/>
  <c r="H592"/>
  <c r="I592"/>
  <c r="J592"/>
  <c r="A593"/>
  <c r="B593"/>
  <c r="C593"/>
  <c r="D593"/>
  <c r="E593"/>
  <c r="F593"/>
  <c r="G593"/>
  <c r="H593"/>
  <c r="I593"/>
  <c r="J593"/>
  <c r="A594"/>
  <c r="B594"/>
  <c r="C594"/>
  <c r="D594"/>
  <c r="E594"/>
  <c r="F594"/>
  <c r="G594"/>
  <c r="H594"/>
  <c r="I594"/>
  <c r="J594"/>
  <c r="A595"/>
  <c r="B595"/>
  <c r="C595"/>
  <c r="D595"/>
  <c r="E595"/>
  <c r="F595"/>
  <c r="G595"/>
  <c r="H595"/>
  <c r="I595"/>
  <c r="J595"/>
  <c r="A596"/>
  <c r="B596"/>
  <c r="C596"/>
  <c r="D596"/>
  <c r="E596"/>
  <c r="F596"/>
  <c r="G596"/>
  <c r="H596"/>
  <c r="I596"/>
  <c r="J596"/>
  <c r="A597"/>
  <c r="B597"/>
  <c r="C597"/>
  <c r="D597"/>
  <c r="E597"/>
  <c r="F597"/>
  <c r="G597"/>
  <c r="H597"/>
  <c r="I597"/>
  <c r="J597"/>
  <c r="A598"/>
  <c r="B598"/>
  <c r="C598"/>
  <c r="D598"/>
  <c r="E598"/>
  <c r="F598"/>
  <c r="G598"/>
  <c r="H598"/>
  <c r="I598"/>
  <c r="J598"/>
  <c r="A599"/>
  <c r="B599"/>
  <c r="C599"/>
  <c r="D599"/>
  <c r="E599"/>
  <c r="F599"/>
  <c r="G599"/>
  <c r="H599"/>
  <c r="I599"/>
  <c r="J599"/>
  <c r="A600"/>
  <c r="B600"/>
  <c r="C600"/>
  <c r="D600"/>
  <c r="E600"/>
  <c r="F600"/>
  <c r="G600"/>
  <c r="H600"/>
  <c r="I600"/>
  <c r="J600"/>
  <c r="A601"/>
  <c r="B601"/>
  <c r="C601"/>
  <c r="D601"/>
  <c r="E601"/>
  <c r="F601"/>
  <c r="G601"/>
  <c r="H601"/>
  <c r="I601"/>
  <c r="J601"/>
  <c r="A602"/>
  <c r="B602"/>
  <c r="C602"/>
  <c r="D602"/>
  <c r="E602"/>
  <c r="F602"/>
  <c r="G602"/>
  <c r="H602"/>
  <c r="I602"/>
  <c r="J602"/>
  <c r="A603"/>
  <c r="B603"/>
  <c r="C603"/>
  <c r="D603"/>
  <c r="E603"/>
  <c r="F603"/>
  <c r="G603"/>
  <c r="H603"/>
  <c r="I603"/>
  <c r="J603"/>
  <c r="A604"/>
  <c r="B604"/>
  <c r="C604"/>
  <c r="D604"/>
  <c r="E604"/>
  <c r="F604"/>
  <c r="G604"/>
  <c r="H604"/>
  <c r="I604"/>
  <c r="J604"/>
  <c r="A605"/>
  <c r="B605"/>
  <c r="C605"/>
  <c r="D605"/>
  <c r="E605"/>
  <c r="F605"/>
  <c r="G605"/>
  <c r="H605"/>
  <c r="I605"/>
  <c r="J605"/>
  <c r="A606"/>
  <c r="B606"/>
  <c r="C606"/>
  <c r="D606"/>
  <c r="E606"/>
  <c r="F606"/>
  <c r="G606"/>
  <c r="H606"/>
  <c r="I606"/>
  <c r="J606"/>
  <c r="A607"/>
  <c r="B607"/>
  <c r="C607"/>
  <c r="D607"/>
  <c r="E607"/>
  <c r="F607"/>
  <c r="G607"/>
  <c r="H607"/>
  <c r="I607"/>
  <c r="J607"/>
  <c r="A608"/>
  <c r="B608"/>
  <c r="C608"/>
  <c r="D608"/>
  <c r="E608"/>
  <c r="F608"/>
  <c r="G608"/>
  <c r="H608"/>
  <c r="I608"/>
  <c r="J608"/>
  <c r="A609"/>
  <c r="B609"/>
  <c r="C609"/>
  <c r="D609"/>
  <c r="E609"/>
  <c r="F609"/>
  <c r="G609"/>
  <c r="H609"/>
  <c r="I609"/>
  <c r="J609"/>
  <c r="A610"/>
  <c r="B610"/>
  <c r="C610"/>
  <c r="D610"/>
  <c r="E610"/>
  <c r="F610"/>
  <c r="G610"/>
  <c r="H610"/>
  <c r="I610"/>
  <c r="J610"/>
  <c r="A611"/>
  <c r="B611"/>
  <c r="C611"/>
  <c r="D611"/>
  <c r="E611"/>
  <c r="F611"/>
  <c r="G611"/>
  <c r="H611"/>
  <c r="I611"/>
  <c r="J611"/>
  <c r="A612"/>
  <c r="B612"/>
  <c r="C612"/>
  <c r="D612"/>
  <c r="E612"/>
  <c r="F612"/>
  <c r="G612"/>
  <c r="H612"/>
  <c r="I612"/>
  <c r="J612"/>
  <c r="A613"/>
  <c r="B613"/>
  <c r="C613"/>
  <c r="D613"/>
  <c r="E613"/>
  <c r="F613"/>
  <c r="G613"/>
  <c r="H613"/>
  <c r="I613"/>
  <c r="J613"/>
  <c r="A614"/>
  <c r="B614"/>
  <c r="C614"/>
  <c r="D614"/>
  <c r="E614"/>
  <c r="F614"/>
  <c r="G614"/>
  <c r="H614"/>
  <c r="I614"/>
  <c r="J614"/>
  <c r="A615"/>
  <c r="B615"/>
  <c r="C615"/>
  <c r="D615"/>
  <c r="E615"/>
  <c r="F615"/>
  <c r="G615"/>
  <c r="H615"/>
  <c r="I615"/>
  <c r="J615"/>
  <c r="A616"/>
  <c r="B616"/>
  <c r="C616"/>
  <c r="D616"/>
  <c r="E616"/>
  <c r="F616"/>
  <c r="G616"/>
  <c r="H616"/>
  <c r="I616"/>
  <c r="J616"/>
  <c r="A617"/>
  <c r="B617"/>
  <c r="C617"/>
  <c r="D617"/>
  <c r="E617"/>
  <c r="F617"/>
  <c r="G617"/>
  <c r="H617"/>
  <c r="I617"/>
  <c r="J617"/>
  <c r="A618"/>
  <c r="B618"/>
  <c r="C618"/>
  <c r="D618"/>
  <c r="E618"/>
  <c r="F618"/>
  <c r="G618"/>
  <c r="H618"/>
  <c r="I618"/>
  <c r="J618"/>
  <c r="A619"/>
  <c r="B619"/>
  <c r="C619"/>
  <c r="D619"/>
  <c r="E619"/>
  <c r="F619"/>
  <c r="G619"/>
  <c r="H619"/>
  <c r="I619"/>
  <c r="J619"/>
  <c r="A620"/>
  <c r="B620"/>
  <c r="C620"/>
  <c r="D620"/>
  <c r="E620"/>
  <c r="F620"/>
  <c r="G620"/>
  <c r="H620"/>
  <c r="I620"/>
  <c r="J620"/>
  <c r="A621"/>
  <c r="B621"/>
  <c r="C621"/>
  <c r="D621"/>
  <c r="E621"/>
  <c r="F621"/>
  <c r="G621"/>
  <c r="H621"/>
  <c r="I621"/>
  <c r="J621"/>
  <c r="A622"/>
  <c r="B622"/>
  <c r="C622"/>
  <c r="D622"/>
  <c r="E622"/>
  <c r="F622"/>
  <c r="G622"/>
  <c r="H622"/>
  <c r="I622"/>
  <c r="J622"/>
  <c r="A623"/>
  <c r="B623"/>
  <c r="C623"/>
  <c r="D623"/>
  <c r="E623"/>
  <c r="F623"/>
  <c r="G623"/>
  <c r="H623"/>
  <c r="I623"/>
  <c r="J623"/>
  <c r="A624"/>
  <c r="B624"/>
  <c r="C624"/>
  <c r="D624"/>
  <c r="E624"/>
  <c r="F624"/>
  <c r="G624"/>
  <c r="H624"/>
  <c r="I624"/>
  <c r="J624"/>
  <c r="A625"/>
  <c r="B625"/>
  <c r="C625"/>
  <c r="D625"/>
  <c r="E625"/>
  <c r="F625"/>
  <c r="G625"/>
  <c r="H625"/>
  <c r="I625"/>
  <c r="J625"/>
  <c r="A626"/>
  <c r="B626"/>
  <c r="C626"/>
  <c r="D626"/>
  <c r="E626"/>
  <c r="F626"/>
  <c r="G626"/>
  <c r="H626"/>
  <c r="I626"/>
  <c r="J626"/>
  <c r="A627"/>
  <c r="B627"/>
  <c r="C627"/>
  <c r="D627"/>
  <c r="E627"/>
  <c r="F627"/>
  <c r="G627"/>
  <c r="H627"/>
  <c r="I627"/>
  <c r="J627"/>
  <c r="A628"/>
  <c r="B628"/>
  <c r="C628"/>
  <c r="D628"/>
  <c r="E628"/>
  <c r="F628"/>
  <c r="G628"/>
  <c r="H628"/>
  <c r="I628"/>
  <c r="J628"/>
  <c r="A629"/>
  <c r="B629"/>
  <c r="C629"/>
  <c r="D629"/>
  <c r="E629"/>
  <c r="F629"/>
  <c r="G629"/>
  <c r="H629"/>
  <c r="I629"/>
  <c r="J629"/>
  <c r="A630"/>
  <c r="B630"/>
  <c r="C630"/>
  <c r="D630"/>
  <c r="E630"/>
  <c r="F630"/>
  <c r="G630"/>
  <c r="H630"/>
  <c r="I630"/>
  <c r="J630"/>
  <c r="A631"/>
  <c r="B631"/>
  <c r="C631"/>
  <c r="D631"/>
  <c r="E631"/>
  <c r="F631"/>
  <c r="G631"/>
  <c r="H631"/>
  <c r="I631"/>
  <c r="J631"/>
  <c r="A632"/>
  <c r="B632"/>
  <c r="C632"/>
  <c r="D632"/>
  <c r="E632"/>
  <c r="F632"/>
  <c r="G632"/>
  <c r="H632"/>
  <c r="I632"/>
  <c r="J632"/>
  <c r="A633"/>
  <c r="B633"/>
  <c r="C633"/>
  <c r="D633"/>
  <c r="E633"/>
  <c r="F633"/>
  <c r="G633"/>
  <c r="H633"/>
  <c r="I633"/>
  <c r="J633"/>
  <c r="A634"/>
  <c r="B634"/>
  <c r="C634"/>
  <c r="D634"/>
  <c r="E634"/>
  <c r="F634"/>
  <c r="G634"/>
  <c r="H634"/>
  <c r="I634"/>
  <c r="J634"/>
  <c r="A635"/>
  <c r="B635"/>
  <c r="C635"/>
  <c r="D635"/>
  <c r="E635"/>
  <c r="F635"/>
  <c r="G635"/>
  <c r="H635"/>
  <c r="I635"/>
  <c r="J635"/>
  <c r="A636"/>
  <c r="B636"/>
  <c r="C636"/>
  <c r="D636"/>
  <c r="E636"/>
  <c r="F636"/>
  <c r="G636"/>
  <c r="H636"/>
  <c r="I636"/>
  <c r="J636"/>
  <c r="A637"/>
  <c r="B637"/>
  <c r="C637"/>
  <c r="D637"/>
  <c r="E637"/>
  <c r="F637"/>
  <c r="G637"/>
  <c r="H637"/>
  <c r="I637"/>
  <c r="J637"/>
  <c r="A638"/>
  <c r="B638"/>
  <c r="C638"/>
  <c r="D638"/>
  <c r="E638"/>
  <c r="F638"/>
  <c r="G638"/>
  <c r="H638"/>
  <c r="I638"/>
  <c r="J638"/>
  <c r="A639"/>
  <c r="B639"/>
  <c r="C639"/>
  <c r="D639"/>
  <c r="E639"/>
  <c r="F639"/>
  <c r="G639"/>
  <c r="H639"/>
  <c r="I639"/>
  <c r="J639"/>
  <c r="A640"/>
  <c r="B640"/>
  <c r="C640"/>
  <c r="D640"/>
  <c r="E640"/>
  <c r="F640"/>
  <c r="G640"/>
  <c r="H640"/>
  <c r="I640"/>
  <c r="J640"/>
  <c r="A641"/>
  <c r="B641"/>
  <c r="C641"/>
  <c r="D641"/>
  <c r="E641"/>
  <c r="F641"/>
  <c r="G641"/>
  <c r="H641"/>
  <c r="I641"/>
  <c r="J641"/>
  <c r="A642"/>
  <c r="B642"/>
  <c r="C642"/>
  <c r="D642"/>
  <c r="E642"/>
  <c r="F642"/>
  <c r="G642"/>
  <c r="H642"/>
  <c r="I642"/>
  <c r="J642"/>
  <c r="A643"/>
  <c r="B643"/>
  <c r="C643"/>
  <c r="D643"/>
  <c r="E643"/>
  <c r="F643"/>
  <c r="G643"/>
  <c r="H643"/>
  <c r="I643"/>
  <c r="J643"/>
  <c r="A644"/>
  <c r="B644"/>
  <c r="C644"/>
  <c r="D644"/>
  <c r="E644"/>
  <c r="F644"/>
  <c r="G644"/>
  <c r="H644"/>
  <c r="I644"/>
  <c r="J644"/>
  <c r="A645"/>
  <c r="B645"/>
  <c r="C645"/>
  <c r="D645"/>
  <c r="E645"/>
  <c r="F645"/>
  <c r="G645"/>
  <c r="H645"/>
  <c r="I645"/>
  <c r="J645"/>
  <c r="A646"/>
  <c r="B646"/>
  <c r="C646"/>
  <c r="D646"/>
  <c r="E646"/>
  <c r="F646"/>
  <c r="G646"/>
  <c r="H646"/>
  <c r="I646"/>
  <c r="J646"/>
  <c r="A647"/>
  <c r="B647"/>
  <c r="C647"/>
  <c r="D647"/>
  <c r="E647"/>
  <c r="F647"/>
  <c r="G647"/>
  <c r="H647"/>
  <c r="I647"/>
  <c r="J647"/>
  <c r="A648"/>
  <c r="B648"/>
  <c r="C648"/>
  <c r="D648"/>
  <c r="E648"/>
  <c r="F648"/>
  <c r="G648"/>
  <c r="H648"/>
  <c r="I648"/>
  <c r="J648"/>
  <c r="A649"/>
  <c r="B649"/>
  <c r="C649"/>
  <c r="D649"/>
  <c r="E649"/>
  <c r="F649"/>
  <c r="G649"/>
  <c r="H649"/>
  <c r="I649"/>
  <c r="J649"/>
  <c r="A650"/>
  <c r="B650"/>
  <c r="C650"/>
  <c r="D650"/>
  <c r="E650"/>
  <c r="F650"/>
  <c r="G650"/>
  <c r="H650"/>
  <c r="I650"/>
  <c r="J650"/>
  <c r="A651"/>
  <c r="B651"/>
  <c r="C651"/>
  <c r="D651"/>
  <c r="E651"/>
  <c r="F651"/>
  <c r="G651"/>
  <c r="H651"/>
  <c r="I651"/>
  <c r="J651"/>
  <c r="A652"/>
  <c r="B652"/>
  <c r="C652"/>
  <c r="D652"/>
  <c r="E652"/>
  <c r="F652"/>
  <c r="G652"/>
  <c r="H652"/>
  <c r="I652"/>
  <c r="J652"/>
  <c r="A653"/>
  <c r="B653"/>
  <c r="C653"/>
  <c r="D653"/>
  <c r="E653"/>
  <c r="F653"/>
  <c r="G653"/>
  <c r="H653"/>
  <c r="I653"/>
  <c r="J653"/>
  <c r="A654"/>
  <c r="B654"/>
  <c r="C654"/>
  <c r="D654"/>
  <c r="E654"/>
  <c r="F654"/>
  <c r="G654"/>
  <c r="H654"/>
  <c r="I654"/>
  <c r="J654"/>
  <c r="A655"/>
  <c r="B655"/>
  <c r="C655"/>
  <c r="D655"/>
  <c r="E655"/>
  <c r="F655"/>
  <c r="G655"/>
  <c r="H655"/>
  <c r="I655"/>
  <c r="J655"/>
  <c r="A656"/>
  <c r="B656"/>
  <c r="C656"/>
  <c r="D656"/>
  <c r="E656"/>
  <c r="F656"/>
  <c r="G656"/>
  <c r="H656"/>
  <c r="I656"/>
  <c r="J656"/>
  <c r="A657"/>
  <c r="B657"/>
  <c r="C657"/>
  <c r="D657"/>
  <c r="E657"/>
  <c r="F657"/>
  <c r="G657"/>
  <c r="H657"/>
  <c r="I657"/>
  <c r="J657"/>
  <c r="A658"/>
  <c r="B658"/>
  <c r="C658"/>
  <c r="D658"/>
  <c r="E658"/>
  <c r="F658"/>
  <c r="G658"/>
  <c r="H658"/>
  <c r="I658"/>
  <c r="J658"/>
  <c r="A659"/>
  <c r="B659"/>
  <c r="C659"/>
  <c r="D659"/>
  <c r="E659"/>
  <c r="F659"/>
  <c r="G659"/>
  <c r="H659"/>
  <c r="I659"/>
  <c r="J659"/>
  <c r="A660"/>
  <c r="B660"/>
  <c r="C660"/>
  <c r="D660"/>
  <c r="E660"/>
  <c r="F660"/>
  <c r="G660"/>
  <c r="H660"/>
  <c r="I660"/>
  <c r="J660"/>
  <c r="A661"/>
  <c r="B661"/>
  <c r="C661"/>
  <c r="D661"/>
  <c r="E661"/>
  <c r="F661"/>
  <c r="G661"/>
  <c r="H661"/>
  <c r="I661"/>
  <c r="J661"/>
  <c r="A662"/>
  <c r="B662"/>
  <c r="C662"/>
  <c r="D662"/>
  <c r="E662"/>
  <c r="F662"/>
  <c r="G662"/>
  <c r="H662"/>
  <c r="I662"/>
  <c r="J662"/>
  <c r="A663"/>
  <c r="B663"/>
  <c r="C663"/>
  <c r="D663"/>
  <c r="E663"/>
  <c r="F663"/>
  <c r="G663"/>
  <c r="H663"/>
  <c r="I663"/>
  <c r="J663"/>
  <c r="A664"/>
  <c r="B664"/>
  <c r="C664"/>
  <c r="D664"/>
  <c r="E664"/>
  <c r="F664"/>
  <c r="G664"/>
  <c r="H664"/>
  <c r="I664"/>
  <c r="J664"/>
  <c r="A665"/>
  <c r="B665"/>
  <c r="C665"/>
  <c r="D665"/>
  <c r="E665"/>
  <c r="F665"/>
  <c r="G665"/>
  <c r="H665"/>
  <c r="I665"/>
  <c r="J665"/>
  <c r="A666"/>
  <c r="B666"/>
  <c r="C666"/>
  <c r="D666"/>
  <c r="E666"/>
  <c r="F666"/>
  <c r="G666"/>
  <c r="H666"/>
  <c r="I666"/>
  <c r="J666"/>
  <c r="A667"/>
  <c r="B667"/>
  <c r="C667"/>
  <c r="D667"/>
  <c r="E667"/>
  <c r="F667"/>
  <c r="G667"/>
  <c r="H667"/>
  <c r="I667"/>
  <c r="J667"/>
  <c r="A668"/>
  <c r="B668"/>
  <c r="C668"/>
  <c r="D668"/>
  <c r="E668"/>
  <c r="F668"/>
  <c r="G668"/>
  <c r="H668"/>
  <c r="I668"/>
  <c r="J668"/>
  <c r="A669"/>
  <c r="B669"/>
  <c r="C669"/>
  <c r="D669"/>
  <c r="E669"/>
  <c r="F669"/>
  <c r="G669"/>
  <c r="H669"/>
  <c r="I669"/>
  <c r="J669"/>
  <c r="A670"/>
  <c r="B670"/>
  <c r="C670"/>
  <c r="D670"/>
  <c r="E670"/>
  <c r="F670"/>
  <c r="G670"/>
  <c r="H670"/>
  <c r="I670"/>
  <c r="J670"/>
  <c r="A671"/>
  <c r="B671"/>
  <c r="C671"/>
  <c r="D671"/>
  <c r="E671"/>
  <c r="F671"/>
  <c r="G671"/>
  <c r="H671"/>
  <c r="I671"/>
  <c r="J671"/>
  <c r="A672"/>
  <c r="B672"/>
  <c r="C672"/>
  <c r="D672"/>
  <c r="E672"/>
  <c r="F672"/>
  <c r="G672"/>
  <c r="H672"/>
  <c r="I672"/>
  <c r="J672"/>
  <c r="A673"/>
  <c r="B673"/>
  <c r="C673"/>
  <c r="D673"/>
  <c r="E673"/>
  <c r="F673"/>
  <c r="G673"/>
  <c r="H673"/>
  <c r="I673"/>
  <c r="J673"/>
  <c r="A674"/>
  <c r="B674"/>
  <c r="C674"/>
  <c r="D674"/>
  <c r="E674"/>
  <c r="F674"/>
  <c r="G674"/>
  <c r="H674"/>
  <c r="I674"/>
  <c r="J674"/>
  <c r="A675"/>
  <c r="B675"/>
  <c r="C675"/>
  <c r="D675"/>
  <c r="E675"/>
  <c r="F675"/>
  <c r="G675"/>
  <c r="H675"/>
  <c r="I675"/>
  <c r="J675"/>
  <c r="A676"/>
  <c r="B676"/>
  <c r="C676"/>
  <c r="D676"/>
  <c r="E676"/>
  <c r="F676"/>
  <c r="G676"/>
  <c r="H676"/>
  <c r="I676"/>
  <c r="J676"/>
  <c r="A677"/>
  <c r="B677"/>
  <c r="C677"/>
  <c r="D677"/>
  <c r="E677"/>
  <c r="F677"/>
  <c r="G677"/>
  <c r="H677"/>
  <c r="I677"/>
  <c r="J677"/>
  <c r="A678"/>
  <c r="B678"/>
  <c r="C678"/>
  <c r="D678"/>
  <c r="E678"/>
  <c r="F678"/>
  <c r="G678"/>
  <c r="H678"/>
  <c r="I678"/>
  <c r="J678"/>
  <c r="A679"/>
  <c r="B679"/>
  <c r="C679"/>
  <c r="D679"/>
  <c r="E679"/>
  <c r="F679"/>
  <c r="G679"/>
  <c r="H679"/>
  <c r="I679"/>
  <c r="J679"/>
  <c r="A680"/>
  <c r="B680"/>
  <c r="C680"/>
  <c r="D680"/>
  <c r="E680"/>
  <c r="F680"/>
  <c r="G680"/>
  <c r="H680"/>
  <c r="I680"/>
  <c r="J680"/>
  <c r="A681"/>
  <c r="B681"/>
  <c r="C681"/>
  <c r="D681"/>
  <c r="E681"/>
  <c r="F681"/>
  <c r="G681"/>
  <c r="H681"/>
  <c r="I681"/>
  <c r="J681"/>
  <c r="A682"/>
  <c r="B682"/>
  <c r="C682"/>
  <c r="D682"/>
  <c r="E682"/>
  <c r="F682"/>
  <c r="G682"/>
  <c r="H682"/>
  <c r="I682"/>
  <c r="J682"/>
  <c r="A683"/>
  <c r="B683"/>
  <c r="C683"/>
  <c r="D683"/>
  <c r="E683"/>
  <c r="F683"/>
  <c r="G683"/>
  <c r="H683"/>
  <c r="I683"/>
  <c r="J683"/>
  <c r="A684"/>
  <c r="B684"/>
  <c r="C684"/>
  <c r="D684"/>
  <c r="E684"/>
  <c r="F684"/>
  <c r="G684"/>
  <c r="H684"/>
  <c r="I684"/>
  <c r="J684"/>
  <c r="A685"/>
  <c r="B685"/>
  <c r="C685"/>
  <c r="D685"/>
  <c r="E685"/>
  <c r="F685"/>
  <c r="G685"/>
  <c r="H685"/>
  <c r="I685"/>
  <c r="J685"/>
  <c r="A686"/>
  <c r="B686"/>
  <c r="C686"/>
  <c r="D686"/>
  <c r="E686"/>
  <c r="F686"/>
  <c r="G686"/>
  <c r="H686"/>
  <c r="I686"/>
  <c r="J686"/>
  <c r="A687"/>
  <c r="B687"/>
  <c r="C687"/>
  <c r="D687"/>
  <c r="E687"/>
  <c r="F687"/>
  <c r="G687"/>
  <c r="H687"/>
  <c r="I687"/>
  <c r="J687"/>
  <c r="A688"/>
  <c r="B688"/>
  <c r="C688"/>
  <c r="D688"/>
  <c r="E688"/>
  <c r="F688"/>
  <c r="G688"/>
  <c r="H688"/>
  <c r="I688"/>
  <c r="J688"/>
  <c r="A689"/>
  <c r="B689"/>
  <c r="C689"/>
  <c r="D689"/>
  <c r="E689"/>
  <c r="F689"/>
  <c r="G689"/>
  <c r="H689"/>
  <c r="I689"/>
  <c r="J689"/>
  <c r="A690"/>
  <c r="B690"/>
  <c r="C690"/>
  <c r="D690"/>
  <c r="E690"/>
  <c r="F690"/>
  <c r="G690"/>
  <c r="H690"/>
  <c r="I690"/>
  <c r="J690"/>
  <c r="A691"/>
  <c r="B691"/>
  <c r="C691"/>
  <c r="D691"/>
  <c r="E691"/>
  <c r="F691"/>
  <c r="G691"/>
  <c r="H691"/>
  <c r="I691"/>
  <c r="J691"/>
  <c r="A692"/>
  <c r="B692"/>
  <c r="C692"/>
  <c r="D692"/>
  <c r="E692"/>
  <c r="F692"/>
  <c r="G692"/>
  <c r="H692"/>
  <c r="I692"/>
  <c r="J692"/>
  <c r="A693"/>
  <c r="B693"/>
  <c r="C693"/>
  <c r="D693"/>
  <c r="E693"/>
  <c r="F693"/>
  <c r="G693"/>
  <c r="H693"/>
  <c r="I693"/>
  <c r="J693"/>
  <c r="A694"/>
  <c r="B694"/>
  <c r="C694"/>
  <c r="D694"/>
  <c r="E694"/>
  <c r="F694"/>
  <c r="G694"/>
  <c r="H694"/>
  <c r="I694"/>
  <c r="J694"/>
  <c r="A695"/>
  <c r="B695"/>
  <c r="C695"/>
  <c r="D695"/>
  <c r="E695"/>
  <c r="F695"/>
  <c r="G695"/>
  <c r="H695"/>
  <c r="I695"/>
  <c r="J695"/>
  <c r="A696"/>
  <c r="B696"/>
  <c r="C696"/>
  <c r="D696"/>
  <c r="E696"/>
  <c r="F696"/>
  <c r="G696"/>
  <c r="H696"/>
  <c r="I696"/>
  <c r="J696"/>
  <c r="A697"/>
  <c r="B697"/>
  <c r="C697"/>
  <c r="D697"/>
  <c r="E697"/>
  <c r="F697"/>
  <c r="G697"/>
  <c r="H697"/>
  <c r="I697"/>
  <c r="J697"/>
  <c r="A698"/>
  <c r="B698"/>
  <c r="C698"/>
  <c r="D698"/>
  <c r="E698"/>
  <c r="F698"/>
  <c r="G698"/>
  <c r="H698"/>
  <c r="I698"/>
  <c r="J698"/>
  <c r="A699"/>
  <c r="B699"/>
  <c r="C699"/>
  <c r="D699"/>
  <c r="E699"/>
  <c r="F699"/>
  <c r="G699"/>
  <c r="H699"/>
  <c r="I699"/>
  <c r="J699"/>
  <c r="A700"/>
  <c r="B700"/>
  <c r="C700"/>
  <c r="D700"/>
  <c r="E700"/>
  <c r="F700"/>
  <c r="G700"/>
  <c r="H700"/>
  <c r="I700"/>
  <c r="J700"/>
  <c r="A701"/>
  <c r="B701"/>
  <c r="C701"/>
  <c r="D701"/>
  <c r="E701"/>
  <c r="F701"/>
  <c r="G701"/>
  <c r="H701"/>
  <c r="I701"/>
  <c r="J701"/>
  <c r="A702"/>
  <c r="B702"/>
  <c r="C702"/>
  <c r="D702"/>
  <c r="E702"/>
  <c r="F702"/>
  <c r="G702"/>
  <c r="H702"/>
  <c r="I702"/>
  <c r="J702"/>
  <c r="A703"/>
  <c r="B703"/>
  <c r="C703"/>
  <c r="D703"/>
  <c r="E703"/>
  <c r="F703"/>
  <c r="G703"/>
  <c r="H703"/>
  <c r="I703"/>
  <c r="J703"/>
  <c r="A704"/>
  <c r="B704"/>
  <c r="C704"/>
  <c r="D704"/>
  <c r="E704"/>
  <c r="F704"/>
  <c r="G704"/>
  <c r="H704"/>
  <c r="I704"/>
  <c r="J704"/>
  <c r="A705"/>
  <c r="B705"/>
  <c r="C705"/>
  <c r="D705"/>
  <c r="E705"/>
  <c r="F705"/>
  <c r="G705"/>
  <c r="H705"/>
  <c r="I705"/>
  <c r="J705"/>
  <c r="A706"/>
  <c r="B706"/>
  <c r="C706"/>
  <c r="D706"/>
  <c r="E706"/>
  <c r="F706"/>
  <c r="G706"/>
  <c r="H706"/>
  <c r="I706"/>
  <c r="J706"/>
  <c r="A707"/>
  <c r="B707"/>
  <c r="C707"/>
  <c r="D707"/>
  <c r="E707"/>
  <c r="F707"/>
  <c r="G707"/>
  <c r="H707"/>
  <c r="I707"/>
  <c r="J707"/>
  <c r="A708"/>
  <c r="B708"/>
  <c r="C708"/>
  <c r="D708"/>
  <c r="E708"/>
  <c r="F708"/>
  <c r="G708"/>
  <c r="H708"/>
  <c r="I708"/>
  <c r="J708"/>
  <c r="A709"/>
  <c r="B709"/>
  <c r="C709"/>
  <c r="D709"/>
  <c r="E709"/>
  <c r="F709"/>
  <c r="G709"/>
  <c r="H709"/>
  <c r="I709"/>
  <c r="J709"/>
  <c r="A710"/>
  <c r="B710"/>
  <c r="C710"/>
  <c r="D710"/>
  <c r="E710"/>
  <c r="F710"/>
  <c r="G710"/>
  <c r="H710"/>
  <c r="I710"/>
  <c r="J710"/>
  <c r="A711"/>
  <c r="B711"/>
  <c r="C711"/>
  <c r="D711"/>
  <c r="E711"/>
  <c r="F711"/>
  <c r="G711"/>
  <c r="H711"/>
  <c r="I711"/>
  <c r="J711"/>
  <c r="A712"/>
  <c r="B712"/>
  <c r="C712"/>
  <c r="D712"/>
  <c r="E712"/>
  <c r="F712"/>
  <c r="G712"/>
  <c r="H712"/>
  <c r="I712"/>
  <c r="J712"/>
  <c r="A713"/>
  <c r="B713"/>
  <c r="C713"/>
  <c r="D713"/>
  <c r="E713"/>
  <c r="F713"/>
  <c r="G713"/>
  <c r="H713"/>
  <c r="I713"/>
  <c r="J713"/>
  <c r="A714"/>
  <c r="B714"/>
  <c r="C714"/>
  <c r="D714"/>
  <c r="E714"/>
  <c r="F714"/>
  <c r="G714"/>
  <c r="H714"/>
  <c r="I714"/>
  <c r="J714"/>
  <c r="A715"/>
  <c r="B715"/>
  <c r="C715"/>
  <c r="D715"/>
  <c r="E715"/>
  <c r="F715"/>
  <c r="G715"/>
  <c r="H715"/>
  <c r="I715"/>
  <c r="J715"/>
  <c r="A716"/>
  <c r="B716"/>
  <c r="C716"/>
  <c r="D716"/>
  <c r="E716"/>
  <c r="F716"/>
  <c r="G716"/>
  <c r="H716"/>
  <c r="I716"/>
  <c r="J716"/>
  <c r="A717"/>
  <c r="B717"/>
  <c r="C717"/>
  <c r="D717"/>
  <c r="E717"/>
  <c r="F717"/>
  <c r="G717"/>
  <c r="H717"/>
  <c r="I717"/>
  <c r="J717"/>
  <c r="A718"/>
  <c r="B718"/>
  <c r="C718"/>
  <c r="D718"/>
  <c r="E718"/>
  <c r="F718"/>
  <c r="G718"/>
  <c r="H718"/>
  <c r="I718"/>
  <c r="J718"/>
  <c r="A719"/>
  <c r="B719"/>
  <c r="C719"/>
  <c r="D719"/>
  <c r="E719"/>
  <c r="F719"/>
  <c r="G719"/>
  <c r="H719"/>
  <c r="I719"/>
  <c r="J719"/>
  <c r="A720"/>
  <c r="B720"/>
  <c r="C720"/>
  <c r="D720"/>
  <c r="E720"/>
  <c r="F720"/>
  <c r="G720"/>
  <c r="H720"/>
  <c r="I720"/>
  <c r="J720"/>
  <c r="A721"/>
  <c r="B721"/>
  <c r="C721"/>
  <c r="D721"/>
  <c r="E721"/>
  <c r="F721"/>
  <c r="G721"/>
  <c r="H721"/>
  <c r="I721"/>
  <c r="J721"/>
  <c r="A722"/>
  <c r="B722"/>
  <c r="C722"/>
  <c r="D722"/>
  <c r="E722"/>
  <c r="F722"/>
  <c r="G722"/>
  <c r="H722"/>
  <c r="I722"/>
  <c r="J722"/>
  <c r="A723"/>
  <c r="B723"/>
  <c r="C723"/>
  <c r="D723"/>
  <c r="E723"/>
  <c r="F723"/>
  <c r="G723"/>
  <c r="H723"/>
  <c r="I723"/>
  <c r="J723"/>
  <c r="A724"/>
  <c r="B724"/>
  <c r="C724"/>
  <c r="D724"/>
  <c r="E724"/>
  <c r="F724"/>
  <c r="G724"/>
  <c r="H724"/>
  <c r="I724"/>
  <c r="J724"/>
  <c r="A725"/>
  <c r="B725"/>
  <c r="C725"/>
  <c r="D725"/>
  <c r="E725"/>
  <c r="F725"/>
  <c r="G725"/>
  <c r="H725"/>
  <c r="I725"/>
  <c r="J725"/>
  <c r="A726"/>
  <c r="B726"/>
  <c r="C726"/>
  <c r="D726"/>
  <c r="E726"/>
  <c r="F726"/>
  <c r="G726"/>
  <c r="H726"/>
  <c r="I726"/>
  <c r="J726"/>
  <c r="A727"/>
  <c r="B727"/>
  <c r="C727"/>
  <c r="D727"/>
  <c r="E727"/>
  <c r="F727"/>
  <c r="G727"/>
  <c r="H727"/>
  <c r="I727"/>
  <c r="J727"/>
  <c r="A728"/>
  <c r="B728"/>
  <c r="C728"/>
  <c r="D728"/>
  <c r="E728"/>
  <c r="F728"/>
  <c r="G728"/>
  <c r="H728"/>
  <c r="I728"/>
  <c r="J728"/>
  <c r="A729"/>
  <c r="B729"/>
  <c r="C729"/>
  <c r="D729"/>
  <c r="E729"/>
  <c r="F729"/>
  <c r="G729"/>
  <c r="H729"/>
  <c r="I729"/>
  <c r="J729"/>
  <c r="A730"/>
  <c r="B730"/>
  <c r="C730"/>
  <c r="D730"/>
  <c r="E730"/>
  <c r="F730"/>
  <c r="G730"/>
  <c r="H730"/>
  <c r="I730"/>
  <c r="J730"/>
  <c r="A731"/>
  <c r="B731"/>
  <c r="C731"/>
  <c r="D731"/>
  <c r="E731"/>
  <c r="F731"/>
  <c r="G731"/>
  <c r="H731"/>
  <c r="I731"/>
  <c r="J731"/>
  <c r="A732"/>
  <c r="B732"/>
  <c r="C732"/>
  <c r="D732"/>
  <c r="E732"/>
  <c r="F732"/>
  <c r="G732"/>
  <c r="H732"/>
  <c r="I732"/>
  <c r="J732"/>
  <c r="A733"/>
  <c r="B733"/>
  <c r="C733"/>
  <c r="D733"/>
  <c r="E733"/>
  <c r="F733"/>
  <c r="G733"/>
  <c r="H733"/>
  <c r="I733"/>
  <c r="J733"/>
  <c r="A734"/>
  <c r="B734"/>
  <c r="C734"/>
  <c r="D734"/>
  <c r="E734"/>
  <c r="F734"/>
  <c r="G734"/>
  <c r="H734"/>
  <c r="I734"/>
  <c r="J734"/>
  <c r="A735"/>
  <c r="B735"/>
  <c r="C735"/>
  <c r="D735"/>
  <c r="E735"/>
  <c r="F735"/>
  <c r="G735"/>
  <c r="H735"/>
  <c r="I735"/>
  <c r="J735"/>
  <c r="A736"/>
  <c r="B736"/>
  <c r="C736"/>
  <c r="D736"/>
  <c r="E736"/>
  <c r="F736"/>
  <c r="G736"/>
  <c r="H736"/>
  <c r="I736"/>
  <c r="J736"/>
  <c r="A737"/>
  <c r="B737"/>
  <c r="C737"/>
  <c r="D737"/>
  <c r="E737"/>
  <c r="F737"/>
  <c r="G737"/>
  <c r="H737"/>
  <c r="I737"/>
  <c r="J737"/>
  <c r="A738"/>
  <c r="B738"/>
  <c r="C738"/>
  <c r="D738"/>
  <c r="E738"/>
  <c r="F738"/>
  <c r="G738"/>
  <c r="H738"/>
  <c r="I738"/>
  <c r="J738"/>
  <c r="A739"/>
  <c r="B739"/>
  <c r="C739"/>
  <c r="D739"/>
  <c r="E739"/>
  <c r="F739"/>
  <c r="G739"/>
  <c r="H739"/>
  <c r="I739"/>
  <c r="J739"/>
  <c r="A740"/>
  <c r="B740"/>
  <c r="C740"/>
  <c r="D740"/>
  <c r="E740"/>
  <c r="F740"/>
  <c r="G740"/>
  <c r="H740"/>
  <c r="I740"/>
  <c r="J740"/>
  <c r="A741"/>
  <c r="B741"/>
  <c r="C741"/>
  <c r="D741"/>
  <c r="E741"/>
  <c r="F741"/>
  <c r="G741"/>
  <c r="H741"/>
  <c r="I741"/>
  <c r="J741"/>
  <c r="A742"/>
  <c r="B742"/>
  <c r="C742"/>
  <c r="D742"/>
  <c r="E742"/>
  <c r="F742"/>
  <c r="G742"/>
  <c r="H742"/>
  <c r="I742"/>
  <c r="J742"/>
  <c r="A743"/>
  <c r="B743"/>
  <c r="C743"/>
  <c r="D743"/>
  <c r="E743"/>
  <c r="F743"/>
  <c r="G743"/>
  <c r="H743"/>
  <c r="I743"/>
  <c r="J743"/>
  <c r="A744"/>
  <c r="B744"/>
  <c r="C744"/>
  <c r="D744"/>
  <c r="E744"/>
  <c r="F744"/>
  <c r="G744"/>
  <c r="H744"/>
  <c r="I744"/>
  <c r="J744"/>
  <c r="A745"/>
  <c r="B745"/>
  <c r="C745"/>
  <c r="D745"/>
  <c r="E745"/>
  <c r="F745"/>
  <c r="G745"/>
  <c r="H745"/>
  <c r="I745"/>
  <c r="J745"/>
  <c r="A746"/>
  <c r="B746"/>
  <c r="C746"/>
  <c r="D746"/>
  <c r="E746"/>
  <c r="F746"/>
  <c r="G746"/>
  <c r="H746"/>
  <c r="I746"/>
  <c r="J746"/>
  <c r="A747"/>
  <c r="B747"/>
  <c r="C747"/>
  <c r="D747"/>
  <c r="E747"/>
  <c r="F747"/>
  <c r="G747"/>
  <c r="H747"/>
  <c r="I747"/>
  <c r="J747"/>
  <c r="A748"/>
  <c r="B748"/>
  <c r="C748"/>
  <c r="D748"/>
  <c r="E748"/>
  <c r="F748"/>
  <c r="G748"/>
  <c r="H748"/>
  <c r="I748"/>
  <c r="J748"/>
  <c r="A749"/>
  <c r="B749"/>
  <c r="C749"/>
  <c r="D749"/>
  <c r="E749"/>
  <c r="F749"/>
  <c r="G749"/>
  <c r="H749"/>
  <c r="I749"/>
  <c r="J749"/>
  <c r="A750"/>
  <c r="B750"/>
  <c r="C750"/>
  <c r="D750"/>
  <c r="E750"/>
  <c r="F750"/>
  <c r="G750"/>
  <c r="H750"/>
  <c r="I750"/>
  <c r="J750"/>
  <c r="A751"/>
  <c r="B751"/>
  <c r="C751"/>
  <c r="D751"/>
  <c r="E751"/>
  <c r="F751"/>
  <c r="G751"/>
  <c r="H751"/>
  <c r="I751"/>
  <c r="J751"/>
  <c r="A752"/>
  <c r="B752"/>
  <c r="C752"/>
  <c r="D752"/>
  <c r="E752"/>
  <c r="F752"/>
  <c r="G752"/>
  <c r="H752"/>
  <c r="I752"/>
  <c r="J752"/>
  <c r="A753"/>
  <c r="B753"/>
  <c r="C753"/>
  <c r="D753"/>
  <c r="E753"/>
  <c r="F753"/>
  <c r="G753"/>
  <c r="H753"/>
  <c r="I753"/>
  <c r="J753"/>
  <c r="A754"/>
  <c r="B754"/>
  <c r="C754"/>
  <c r="D754"/>
  <c r="E754"/>
  <c r="F754"/>
  <c r="G754"/>
  <c r="H754"/>
  <c r="I754"/>
  <c r="J754"/>
  <c r="A755"/>
  <c r="B755"/>
  <c r="C755"/>
  <c r="D755"/>
  <c r="E755"/>
  <c r="F755"/>
  <c r="G755"/>
  <c r="H755"/>
  <c r="I755"/>
  <c r="J755"/>
  <c r="A756"/>
  <c r="B756"/>
  <c r="C756"/>
  <c r="D756"/>
  <c r="E756"/>
  <c r="F756"/>
  <c r="G756"/>
  <c r="H756"/>
  <c r="I756"/>
  <c r="J756"/>
  <c r="A757"/>
  <c r="B757"/>
  <c r="C757"/>
  <c r="D757"/>
  <c r="E757"/>
  <c r="F757"/>
  <c r="G757"/>
  <c r="H757"/>
  <c r="I757"/>
  <c r="J757"/>
  <c r="A758"/>
  <c r="B758"/>
  <c r="C758"/>
  <c r="D758"/>
  <c r="E758"/>
  <c r="F758"/>
  <c r="G758"/>
  <c r="H758"/>
  <c r="I758"/>
  <c r="J758"/>
  <c r="A759"/>
  <c r="B759"/>
  <c r="C759"/>
  <c r="D759"/>
  <c r="E759"/>
  <c r="F759"/>
  <c r="G759"/>
  <c r="H759"/>
  <c r="I759"/>
  <c r="J759"/>
  <c r="A760"/>
  <c r="B760"/>
  <c r="C760"/>
  <c r="D760"/>
  <c r="E760"/>
  <c r="F760"/>
  <c r="G760"/>
  <c r="H760"/>
  <c r="I760"/>
  <c r="J760"/>
  <c r="A761"/>
  <c r="B761"/>
  <c r="C761"/>
  <c r="D761"/>
  <c r="E761"/>
  <c r="F761"/>
  <c r="G761"/>
  <c r="H761"/>
  <c r="I761"/>
  <c r="J761"/>
  <c r="A762"/>
  <c r="B762"/>
  <c r="C762"/>
  <c r="D762"/>
  <c r="E762"/>
  <c r="F762"/>
  <c r="G762"/>
  <c r="H762"/>
  <c r="I762"/>
  <c r="J762"/>
  <c r="A763"/>
  <c r="B763"/>
  <c r="C763"/>
  <c r="D763"/>
  <c r="E763"/>
  <c r="F763"/>
  <c r="G763"/>
  <c r="H763"/>
  <c r="I763"/>
  <c r="J763"/>
  <c r="A764"/>
  <c r="B764"/>
  <c r="C764"/>
  <c r="D764"/>
  <c r="E764"/>
  <c r="F764"/>
  <c r="G764"/>
  <c r="H764"/>
  <c r="I764"/>
  <c r="J764"/>
  <c r="A765"/>
  <c r="B765"/>
  <c r="C765"/>
  <c r="D765"/>
  <c r="E765"/>
  <c r="F765"/>
  <c r="G765"/>
  <c r="H765"/>
  <c r="I765"/>
  <c r="J765"/>
  <c r="A766"/>
  <c r="B766"/>
  <c r="C766"/>
  <c r="D766"/>
  <c r="E766"/>
  <c r="F766"/>
  <c r="G766"/>
  <c r="H766"/>
  <c r="I766"/>
  <c r="J766"/>
  <c r="A767"/>
  <c r="B767"/>
  <c r="C767"/>
  <c r="D767"/>
  <c r="E767"/>
  <c r="F767"/>
  <c r="G767"/>
  <c r="H767"/>
  <c r="I767"/>
  <c r="J767"/>
  <c r="A768"/>
  <c r="B768"/>
  <c r="C768"/>
  <c r="D768"/>
  <c r="E768"/>
  <c r="F768"/>
  <c r="G768"/>
  <c r="H768"/>
  <c r="I768"/>
  <c r="J768"/>
  <c r="A769"/>
  <c r="B769"/>
  <c r="C769"/>
  <c r="D769"/>
  <c r="E769"/>
  <c r="F769"/>
  <c r="G769"/>
  <c r="H769"/>
  <c r="I769"/>
  <c r="J769"/>
  <c r="A770"/>
  <c r="B770"/>
  <c r="C770"/>
  <c r="D770"/>
  <c r="E770"/>
  <c r="F770"/>
  <c r="G770"/>
  <c r="H770"/>
  <c r="I770"/>
  <c r="J770"/>
  <c r="A771"/>
  <c r="B771"/>
  <c r="C771"/>
  <c r="D771"/>
  <c r="E771"/>
  <c r="F771"/>
  <c r="G771"/>
  <c r="H771"/>
  <c r="I771"/>
  <c r="J771"/>
  <c r="A772"/>
  <c r="B772"/>
  <c r="C772"/>
  <c r="D772"/>
  <c r="E772"/>
  <c r="F772"/>
  <c r="G772"/>
  <c r="H772"/>
  <c r="I772"/>
  <c r="J772"/>
  <c r="A773"/>
  <c r="B773"/>
  <c r="C773"/>
  <c r="D773"/>
  <c r="E773"/>
  <c r="F773"/>
  <c r="G773"/>
  <c r="H773"/>
  <c r="I773"/>
  <c r="J773"/>
  <c r="A774"/>
  <c r="B774"/>
  <c r="C774"/>
  <c r="D774"/>
  <c r="E774"/>
  <c r="F774"/>
  <c r="G774"/>
  <c r="H774"/>
  <c r="I774"/>
  <c r="J774"/>
  <c r="A775"/>
  <c r="B775"/>
  <c r="C775"/>
  <c r="D775"/>
  <c r="E775"/>
  <c r="F775"/>
  <c r="G775"/>
  <c r="H775"/>
  <c r="I775"/>
  <c r="J775"/>
  <c r="A776"/>
  <c r="B776"/>
  <c r="C776"/>
  <c r="D776"/>
  <c r="E776"/>
  <c r="F776"/>
  <c r="G776"/>
  <c r="H776"/>
  <c r="I776"/>
  <c r="J776"/>
  <c r="A777"/>
  <c r="B777"/>
  <c r="C777"/>
  <c r="D777"/>
  <c r="E777"/>
  <c r="F777"/>
  <c r="G777"/>
  <c r="H777"/>
  <c r="I777"/>
  <c r="J777"/>
  <c r="A778"/>
  <c r="B778"/>
  <c r="C778"/>
  <c r="D778"/>
  <c r="E778"/>
  <c r="F778"/>
  <c r="G778"/>
  <c r="H778"/>
  <c r="I778"/>
  <c r="J778"/>
  <c r="A779"/>
  <c r="B779"/>
  <c r="C779"/>
  <c r="D779"/>
  <c r="E779"/>
  <c r="F779"/>
  <c r="G779"/>
  <c r="H779"/>
  <c r="I779"/>
  <c r="J779"/>
  <c r="A780"/>
  <c r="B780"/>
  <c r="C780"/>
  <c r="D780"/>
  <c r="E780"/>
  <c r="F780"/>
  <c r="G780"/>
  <c r="H780"/>
  <c r="I780"/>
  <c r="J780"/>
  <c r="A781"/>
  <c r="B781"/>
  <c r="C781"/>
  <c r="D781"/>
  <c r="E781"/>
  <c r="F781"/>
  <c r="G781"/>
  <c r="H781"/>
  <c r="I781"/>
  <c r="J781"/>
  <c r="A782"/>
  <c r="B782"/>
  <c r="C782"/>
  <c r="D782"/>
  <c r="E782"/>
  <c r="F782"/>
  <c r="G782"/>
  <c r="H782"/>
  <c r="I782"/>
  <c r="J782"/>
  <c r="A783"/>
  <c r="B783"/>
  <c r="C783"/>
  <c r="D783"/>
  <c r="E783"/>
  <c r="F783"/>
  <c r="G783"/>
  <c r="H783"/>
  <c r="I783"/>
  <c r="J783"/>
  <c r="A784"/>
  <c r="B784"/>
  <c r="C784"/>
  <c r="D784"/>
  <c r="E784"/>
  <c r="F784"/>
  <c r="G784"/>
  <c r="H784"/>
  <c r="I784"/>
  <c r="J784"/>
  <c r="A785"/>
  <c r="B785"/>
  <c r="C785"/>
  <c r="D785"/>
  <c r="E785"/>
  <c r="F785"/>
  <c r="G785"/>
  <c r="H785"/>
  <c r="I785"/>
  <c r="J785"/>
  <c r="A786"/>
  <c r="B786"/>
  <c r="C786"/>
  <c r="D786"/>
  <c r="E786"/>
  <c r="F786"/>
  <c r="G786"/>
  <c r="H786"/>
  <c r="I786"/>
  <c r="J786"/>
  <c r="A787"/>
  <c r="B787"/>
  <c r="C787"/>
  <c r="D787"/>
  <c r="E787"/>
  <c r="F787"/>
  <c r="G787"/>
  <c r="H787"/>
  <c r="I787"/>
  <c r="J787"/>
  <c r="A788"/>
  <c r="B788"/>
  <c r="C788"/>
  <c r="D788"/>
  <c r="E788"/>
  <c r="F788"/>
  <c r="G788"/>
  <c r="H788"/>
  <c r="I788"/>
  <c r="J788"/>
  <c r="A789"/>
  <c r="B789"/>
  <c r="C789"/>
  <c r="D789"/>
  <c r="E789"/>
  <c r="F789"/>
  <c r="G789"/>
  <c r="H789"/>
  <c r="I789"/>
  <c r="J789"/>
  <c r="A790"/>
  <c r="B790"/>
  <c r="C790"/>
  <c r="D790"/>
  <c r="E790"/>
  <c r="F790"/>
  <c r="G790"/>
  <c r="H790"/>
  <c r="I790"/>
  <c r="J790"/>
  <c r="A791"/>
  <c r="B791"/>
  <c r="C791"/>
  <c r="D791"/>
  <c r="E791"/>
  <c r="F791"/>
  <c r="G791"/>
  <c r="H791"/>
  <c r="I791"/>
  <c r="J791"/>
  <c r="A792"/>
  <c r="B792"/>
  <c r="C792"/>
  <c r="D792"/>
  <c r="E792"/>
  <c r="F792"/>
  <c r="G792"/>
  <c r="H792"/>
  <c r="I792"/>
  <c r="J792"/>
  <c r="A793"/>
  <c r="B793"/>
  <c r="C793"/>
  <c r="D793"/>
  <c r="E793"/>
  <c r="F793"/>
  <c r="G793"/>
  <c r="H793"/>
  <c r="I793"/>
  <c r="J793"/>
  <c r="A794"/>
  <c r="B794"/>
  <c r="C794"/>
  <c r="D794"/>
  <c r="E794"/>
  <c r="F794"/>
  <c r="G794"/>
  <c r="H794"/>
  <c r="I794"/>
  <c r="J794"/>
  <c r="A795"/>
  <c r="B795"/>
  <c r="C795"/>
  <c r="D795"/>
  <c r="E795"/>
  <c r="F795"/>
  <c r="G795"/>
  <c r="H795"/>
  <c r="I795"/>
  <c r="J795"/>
  <c r="A796"/>
  <c r="B796"/>
  <c r="C796"/>
  <c r="D796"/>
  <c r="E796"/>
  <c r="F796"/>
  <c r="G796"/>
  <c r="H796"/>
  <c r="I796"/>
  <c r="J796"/>
  <c r="A797"/>
  <c r="B797"/>
  <c r="C797"/>
  <c r="D797"/>
  <c r="E797"/>
  <c r="F797"/>
  <c r="G797"/>
  <c r="H797"/>
  <c r="I797"/>
  <c r="J797"/>
  <c r="A798"/>
  <c r="B798"/>
  <c r="C798"/>
  <c r="D798"/>
  <c r="E798"/>
  <c r="F798"/>
  <c r="G798"/>
  <c r="H798"/>
  <c r="I798"/>
  <c r="J798"/>
  <c r="A799"/>
  <c r="B799"/>
  <c r="C799"/>
  <c r="D799"/>
  <c r="E799"/>
  <c r="F799"/>
  <c r="G799"/>
  <c r="H799"/>
  <c r="I799"/>
  <c r="J799"/>
  <c r="A800"/>
  <c r="B800"/>
  <c r="C800"/>
  <c r="D800"/>
  <c r="E800"/>
  <c r="F800"/>
  <c r="G800"/>
  <c r="H800"/>
  <c r="I800"/>
  <c r="J800"/>
  <c r="A801"/>
  <c r="B801"/>
  <c r="C801"/>
  <c r="D801"/>
  <c r="E801"/>
  <c r="F801"/>
  <c r="G801"/>
  <c r="H801"/>
  <c r="I801"/>
  <c r="J801"/>
  <c r="A802"/>
  <c r="B802"/>
  <c r="C802"/>
  <c r="D802"/>
  <c r="E802"/>
  <c r="F802"/>
  <c r="G802"/>
  <c r="H802"/>
  <c r="I802"/>
  <c r="J802"/>
  <c r="A803"/>
  <c r="B803"/>
  <c r="C803"/>
  <c r="D803"/>
  <c r="E803"/>
  <c r="F803"/>
  <c r="G803"/>
  <c r="H803"/>
  <c r="I803"/>
  <c r="J803"/>
  <c r="A804"/>
  <c r="B804"/>
  <c r="C804"/>
  <c r="D804"/>
  <c r="E804"/>
  <c r="F804"/>
  <c r="G804"/>
  <c r="H804"/>
  <c r="I804"/>
  <c r="J804"/>
  <c r="A805"/>
  <c r="B805"/>
  <c r="C805"/>
  <c r="D805"/>
  <c r="E805"/>
  <c r="F805"/>
  <c r="G805"/>
  <c r="H805"/>
  <c r="I805"/>
  <c r="J805"/>
  <c r="A806"/>
  <c r="B806"/>
  <c r="C806"/>
  <c r="D806"/>
  <c r="E806"/>
  <c r="F806"/>
  <c r="G806"/>
  <c r="H806"/>
  <c r="I806"/>
  <c r="J806"/>
  <c r="A807"/>
  <c r="B807"/>
  <c r="C807"/>
  <c r="D807"/>
  <c r="E807"/>
  <c r="F807"/>
  <c r="G807"/>
  <c r="H807"/>
  <c r="I807"/>
  <c r="J807"/>
  <c r="A808"/>
  <c r="B808"/>
  <c r="C808"/>
  <c r="D808"/>
  <c r="E808"/>
  <c r="F808"/>
  <c r="G808"/>
  <c r="H808"/>
  <c r="I808"/>
  <c r="J808"/>
  <c r="A809"/>
  <c r="B809"/>
  <c r="C809"/>
  <c r="D809"/>
  <c r="E809"/>
  <c r="F809"/>
  <c r="G809"/>
  <c r="H809"/>
  <c r="I809"/>
  <c r="J809"/>
  <c r="A810"/>
  <c r="B810"/>
  <c r="C810"/>
  <c r="D810"/>
  <c r="E810"/>
  <c r="F810"/>
  <c r="G810"/>
  <c r="H810"/>
  <c r="I810"/>
  <c r="J810"/>
  <c r="A811"/>
  <c r="B811"/>
  <c r="C811"/>
  <c r="D811"/>
  <c r="E811"/>
  <c r="F811"/>
  <c r="G811"/>
  <c r="H811"/>
  <c r="I811"/>
  <c r="J811"/>
  <c r="A812"/>
  <c r="B812"/>
  <c r="C812"/>
  <c r="D812"/>
  <c r="E812"/>
  <c r="F812"/>
  <c r="G812"/>
  <c r="H812"/>
  <c r="I812"/>
  <c r="J812"/>
  <c r="A813"/>
  <c r="B813"/>
  <c r="C813"/>
  <c r="D813"/>
  <c r="E813"/>
  <c r="F813"/>
  <c r="G813"/>
  <c r="H813"/>
  <c r="I813"/>
  <c r="J813"/>
  <c r="A814"/>
  <c r="B814"/>
  <c r="C814"/>
  <c r="D814"/>
  <c r="E814"/>
  <c r="F814"/>
  <c r="G814"/>
  <c r="H814"/>
  <c r="I814"/>
  <c r="J814"/>
  <c r="A815"/>
  <c r="B815"/>
  <c r="C815"/>
  <c r="D815"/>
  <c r="E815"/>
  <c r="F815"/>
  <c r="G815"/>
  <c r="H815"/>
  <c r="I815"/>
  <c r="J815"/>
  <c r="A816"/>
  <c r="B816"/>
  <c r="C816"/>
  <c r="D816"/>
  <c r="E816"/>
  <c r="F816"/>
  <c r="G816"/>
  <c r="H816"/>
  <c r="I816"/>
  <c r="J816"/>
  <c r="A817"/>
  <c r="B817"/>
  <c r="C817"/>
  <c r="D817"/>
  <c r="E817"/>
  <c r="F817"/>
  <c r="G817"/>
  <c r="H817"/>
  <c r="I817"/>
  <c r="J817"/>
  <c r="A818"/>
  <c r="B818"/>
  <c r="C818"/>
  <c r="D818"/>
  <c r="E818"/>
  <c r="F818"/>
  <c r="G818"/>
  <c r="H818"/>
  <c r="I818"/>
  <c r="J818"/>
  <c r="A819"/>
  <c r="B819"/>
  <c r="C819"/>
  <c r="D819"/>
  <c r="E819"/>
  <c r="F819"/>
  <c r="G819"/>
  <c r="H819"/>
  <c r="I819"/>
  <c r="J819"/>
  <c r="A820"/>
  <c r="B820"/>
  <c r="C820"/>
  <c r="D820"/>
  <c r="E820"/>
  <c r="F820"/>
  <c r="G820"/>
  <c r="H820"/>
  <c r="I820"/>
  <c r="J820"/>
  <c r="A821"/>
  <c r="B821"/>
  <c r="C821"/>
  <c r="D821"/>
  <c r="E821"/>
  <c r="F821"/>
  <c r="G821"/>
  <c r="H821"/>
  <c r="I821"/>
  <c r="J821"/>
  <c r="A822"/>
  <c r="B822"/>
  <c r="C822"/>
  <c r="D822"/>
  <c r="E822"/>
  <c r="F822"/>
  <c r="G822"/>
  <c r="H822"/>
  <c r="I822"/>
  <c r="J822"/>
  <c r="A823"/>
  <c r="B823"/>
  <c r="C823"/>
  <c r="D823"/>
  <c r="E823"/>
  <c r="F823"/>
  <c r="G823"/>
  <c r="H823"/>
  <c r="I823"/>
  <c r="J823"/>
  <c r="A824"/>
  <c r="B824"/>
  <c r="C824"/>
  <c r="D824"/>
  <c r="E824"/>
  <c r="F824"/>
  <c r="G824"/>
  <c r="H824"/>
  <c r="I824"/>
  <c r="J824"/>
  <c r="A825"/>
  <c r="B825"/>
  <c r="C825"/>
  <c r="D825"/>
  <c r="E825"/>
  <c r="F825"/>
  <c r="G825"/>
  <c r="H825"/>
  <c r="I825"/>
  <c r="J825"/>
  <c r="A826"/>
  <c r="B826"/>
  <c r="C826"/>
  <c r="D826"/>
  <c r="E826"/>
  <c r="F826"/>
  <c r="G826"/>
  <c r="H826"/>
  <c r="I826"/>
  <c r="J826"/>
  <c r="A827"/>
  <c r="B827"/>
  <c r="C827"/>
  <c r="D827"/>
  <c r="E827"/>
  <c r="F827"/>
  <c r="G827"/>
  <c r="H827"/>
  <c r="I827"/>
  <c r="J827"/>
  <c r="A828"/>
  <c r="B828"/>
  <c r="C828"/>
  <c r="D828"/>
  <c r="E828"/>
  <c r="F828"/>
  <c r="G828"/>
  <c r="H828"/>
  <c r="I828"/>
  <c r="J828"/>
  <c r="A829"/>
  <c r="B829"/>
  <c r="C829"/>
  <c r="D829"/>
  <c r="E829"/>
  <c r="F829"/>
  <c r="G829"/>
  <c r="H829"/>
  <c r="I829"/>
  <c r="J829"/>
  <c r="A830"/>
  <c r="B830"/>
  <c r="C830"/>
  <c r="D830"/>
  <c r="E830"/>
  <c r="F830"/>
  <c r="G830"/>
  <c r="H830"/>
  <c r="I830"/>
  <c r="J830"/>
  <c r="A831"/>
  <c r="B831"/>
  <c r="C831"/>
  <c r="D831"/>
  <c r="E831"/>
  <c r="F831"/>
  <c r="G831"/>
  <c r="H831"/>
  <c r="I831"/>
  <c r="J831"/>
  <c r="A832"/>
  <c r="B832"/>
  <c r="C832"/>
  <c r="D832"/>
  <c r="E832"/>
  <c r="F832"/>
  <c r="H832"/>
  <c r="I832"/>
  <c r="J832"/>
  <c r="A833"/>
  <c r="B833"/>
  <c r="C833"/>
  <c r="D833"/>
  <c r="E833"/>
  <c r="F833"/>
  <c r="G833"/>
  <c r="H833"/>
  <c r="I833"/>
  <c r="J833"/>
  <c r="A834"/>
  <c r="B834"/>
  <c r="C834"/>
  <c r="D834"/>
  <c r="E834"/>
  <c r="F834"/>
  <c r="G834"/>
  <c r="H834"/>
  <c r="I834"/>
  <c r="J834"/>
  <c r="A835"/>
  <c r="B835"/>
  <c r="C835"/>
  <c r="D835"/>
  <c r="E835"/>
  <c r="F835"/>
  <c r="G835"/>
  <c r="H835"/>
  <c r="I835"/>
  <c r="J835"/>
  <c r="A836"/>
  <c r="B836"/>
  <c r="C836"/>
  <c r="D836"/>
  <c r="E836"/>
  <c r="F836"/>
  <c r="G836"/>
  <c r="H836"/>
  <c r="I836"/>
  <c r="J836"/>
  <c r="A837"/>
  <c r="B837"/>
  <c r="C837"/>
  <c r="D837"/>
  <c r="E837"/>
  <c r="F837"/>
  <c r="G837"/>
  <c r="H837"/>
  <c r="I837"/>
  <c r="J837"/>
  <c r="A838"/>
  <c r="B838"/>
  <c r="C838"/>
  <c r="D838"/>
  <c r="E838"/>
  <c r="F838"/>
  <c r="G838"/>
  <c r="H838"/>
  <c r="I838"/>
  <c r="J838"/>
  <c r="A839"/>
  <c r="B839"/>
  <c r="C839"/>
  <c r="D839"/>
  <c r="E839"/>
  <c r="F839"/>
  <c r="G839"/>
  <c r="H839"/>
  <c r="I839"/>
  <c r="J839"/>
  <c r="A840"/>
  <c r="B840"/>
  <c r="C840"/>
  <c r="D840"/>
  <c r="E840"/>
  <c r="F840"/>
  <c r="G840"/>
  <c r="H840"/>
  <c r="I840"/>
  <c r="J840"/>
  <c r="A841"/>
  <c r="B841"/>
  <c r="C841"/>
  <c r="D841"/>
  <c r="E841"/>
  <c r="F841"/>
  <c r="G841"/>
  <c r="H841"/>
  <c r="I841"/>
  <c r="J841"/>
  <c r="A842"/>
  <c r="B842"/>
  <c r="C842"/>
  <c r="D842"/>
  <c r="E842"/>
  <c r="F842"/>
  <c r="G842"/>
  <c r="H842"/>
  <c r="I842"/>
  <c r="J842"/>
  <c r="A843"/>
  <c r="B843"/>
  <c r="C843"/>
  <c r="D843"/>
  <c r="E843"/>
  <c r="F843"/>
  <c r="G843"/>
  <c r="H843"/>
  <c r="I843"/>
  <c r="J843"/>
  <c r="A844"/>
  <c r="B844"/>
  <c r="C844"/>
  <c r="D844"/>
  <c r="E844"/>
  <c r="F844"/>
  <c r="G844"/>
  <c r="H844"/>
  <c r="I844"/>
  <c r="J844"/>
  <c r="A845"/>
  <c r="B845"/>
  <c r="C845"/>
  <c r="D845"/>
  <c r="E845"/>
  <c r="F845"/>
  <c r="G845"/>
  <c r="H845"/>
  <c r="I845"/>
  <c r="J845"/>
  <c r="A846"/>
  <c r="B846"/>
  <c r="C846"/>
  <c r="D846"/>
  <c r="E846"/>
  <c r="F846"/>
  <c r="G846"/>
  <c r="H846"/>
  <c r="I846"/>
  <c r="J846"/>
  <c r="A847"/>
  <c r="B847"/>
  <c r="C847"/>
  <c r="D847"/>
  <c r="E847"/>
  <c r="F847"/>
  <c r="G847"/>
  <c r="H847"/>
  <c r="I847"/>
  <c r="J847"/>
  <c r="A848"/>
  <c r="B848"/>
  <c r="C848"/>
  <c r="D848"/>
  <c r="E848"/>
  <c r="F848"/>
  <c r="G848"/>
  <c r="H848"/>
  <c r="I848"/>
  <c r="J848"/>
  <c r="A849"/>
  <c r="B849"/>
  <c r="C849"/>
  <c r="D849"/>
  <c r="E849"/>
  <c r="F849"/>
  <c r="G849"/>
  <c r="H849"/>
  <c r="I849"/>
  <c r="J849"/>
  <c r="A850"/>
  <c r="B850"/>
  <c r="C850"/>
  <c r="D850"/>
  <c r="E850"/>
  <c r="F850"/>
  <c r="G850"/>
  <c r="H850"/>
  <c r="I850"/>
  <c r="J850"/>
  <c r="A851"/>
  <c r="B851"/>
  <c r="C851"/>
  <c r="D851"/>
  <c r="E851"/>
  <c r="F851"/>
  <c r="G851"/>
  <c r="H851"/>
  <c r="I851"/>
  <c r="J851"/>
  <c r="A852"/>
  <c r="B852"/>
  <c r="C852"/>
  <c r="D852"/>
  <c r="E852"/>
  <c r="F852"/>
  <c r="G852"/>
  <c r="H852"/>
  <c r="I852"/>
  <c r="J852"/>
  <c r="A853"/>
  <c r="B853"/>
  <c r="C853"/>
  <c r="D853"/>
  <c r="E853"/>
  <c r="F853"/>
  <c r="G853"/>
  <c r="H853"/>
  <c r="I853"/>
  <c r="J853"/>
  <c r="A854"/>
  <c r="B854"/>
  <c r="C854"/>
  <c r="D854"/>
  <c r="E854"/>
  <c r="F854"/>
  <c r="G854"/>
  <c r="H854"/>
  <c r="I854"/>
  <c r="J854"/>
  <c r="A855"/>
  <c r="B855"/>
  <c r="C855"/>
  <c r="D855"/>
  <c r="E855"/>
  <c r="F855"/>
  <c r="G855"/>
  <c r="H855"/>
  <c r="I855"/>
  <c r="J855"/>
  <c r="A856"/>
  <c r="B856"/>
  <c r="C856"/>
  <c r="D856"/>
  <c r="E856"/>
  <c r="F856"/>
  <c r="G856"/>
  <c r="H856"/>
  <c r="I856"/>
  <c r="J856"/>
  <c r="A857"/>
  <c r="B857"/>
  <c r="C857"/>
  <c r="D857"/>
  <c r="E857"/>
  <c r="F857"/>
  <c r="G857"/>
  <c r="H857"/>
  <c r="I857"/>
  <c r="J857"/>
  <c r="A858"/>
  <c r="B858"/>
  <c r="C858"/>
  <c r="D858"/>
  <c r="E858"/>
  <c r="F858"/>
  <c r="G858"/>
  <c r="H858"/>
  <c r="I858"/>
  <c r="J858"/>
  <c r="A859"/>
  <c r="B859"/>
  <c r="C859"/>
  <c r="D859"/>
  <c r="E859"/>
  <c r="F859"/>
  <c r="G859"/>
  <c r="H859"/>
  <c r="I859"/>
  <c r="J859"/>
  <c r="A860"/>
  <c r="B860"/>
  <c r="C860"/>
  <c r="D860"/>
  <c r="E860"/>
  <c r="F860"/>
  <c r="G860"/>
  <c r="H860"/>
  <c r="I860"/>
  <c r="J860"/>
  <c r="A861"/>
  <c r="B861"/>
  <c r="C861"/>
  <c r="D861"/>
  <c r="E861"/>
  <c r="F861"/>
  <c r="G861"/>
  <c r="H861"/>
  <c r="I861"/>
  <c r="J861"/>
  <c r="A862"/>
  <c r="B862"/>
  <c r="C862"/>
  <c r="D862"/>
  <c r="E862"/>
  <c r="F862"/>
  <c r="G862"/>
  <c r="H862"/>
  <c r="I862"/>
  <c r="J862"/>
  <c r="A863"/>
  <c r="B863"/>
  <c r="C863"/>
  <c r="D863"/>
  <c r="E863"/>
  <c r="F863"/>
  <c r="G863"/>
  <c r="H863"/>
  <c r="I863"/>
  <c r="J863"/>
  <c r="A864"/>
  <c r="B864"/>
  <c r="C864"/>
  <c r="D864"/>
  <c r="E864"/>
  <c r="F864"/>
  <c r="G864"/>
  <c r="H864"/>
  <c r="I864"/>
  <c r="J864"/>
  <c r="A865"/>
  <c r="B865"/>
  <c r="C865"/>
  <c r="D865"/>
  <c r="E865"/>
  <c r="F865"/>
  <c r="G865"/>
  <c r="H865"/>
  <c r="I865"/>
  <c r="J865"/>
  <c r="A866"/>
  <c r="B866"/>
  <c r="C866"/>
  <c r="D866"/>
  <c r="E866"/>
  <c r="F866"/>
  <c r="G866"/>
  <c r="H866"/>
  <c r="I866"/>
  <c r="J866"/>
  <c r="A867"/>
  <c r="B867"/>
  <c r="C867"/>
  <c r="D867"/>
  <c r="E867"/>
  <c r="F867"/>
  <c r="G867"/>
  <c r="H867"/>
  <c r="I867"/>
  <c r="J867"/>
  <c r="A868"/>
  <c r="B868"/>
  <c r="C868"/>
  <c r="D868"/>
  <c r="E868"/>
  <c r="F868"/>
  <c r="G868"/>
  <c r="H868"/>
  <c r="I868"/>
  <c r="J868"/>
  <c r="A869"/>
  <c r="B869"/>
  <c r="C869"/>
  <c r="D869"/>
  <c r="E869"/>
  <c r="F869"/>
  <c r="G869"/>
  <c r="H869"/>
  <c r="I869"/>
  <c r="J869"/>
  <c r="A870"/>
  <c r="B870"/>
  <c r="C870"/>
  <c r="D870"/>
  <c r="E870"/>
  <c r="F870"/>
  <c r="G870"/>
  <c r="H870"/>
  <c r="I870"/>
  <c r="J870"/>
  <c r="A871"/>
  <c r="B871"/>
  <c r="C871"/>
  <c r="D871"/>
  <c r="E871"/>
  <c r="F871"/>
  <c r="G871"/>
  <c r="H871"/>
  <c r="I871"/>
  <c r="J871"/>
  <c r="A872"/>
  <c r="B872"/>
  <c r="C872"/>
  <c r="D872"/>
  <c r="E872"/>
  <c r="F872"/>
  <c r="G872"/>
  <c r="H872"/>
  <c r="I872"/>
  <c r="J872"/>
  <c r="A873"/>
  <c r="B873"/>
  <c r="C873"/>
  <c r="D873"/>
  <c r="E873"/>
  <c r="F873"/>
  <c r="G873"/>
  <c r="H873"/>
  <c r="I873"/>
  <c r="J873"/>
  <c r="A874"/>
  <c r="B874"/>
  <c r="C874"/>
  <c r="D874"/>
  <c r="E874"/>
  <c r="F874"/>
  <c r="G874"/>
  <c r="H874"/>
  <c r="I874"/>
  <c r="J874"/>
  <c r="A875"/>
  <c r="B875"/>
  <c r="C875"/>
  <c r="D875"/>
  <c r="E875"/>
  <c r="F875"/>
  <c r="G875"/>
  <c r="H875"/>
  <c r="I875"/>
  <c r="J875"/>
  <c r="A876"/>
  <c r="B876"/>
  <c r="C876"/>
  <c r="D876"/>
  <c r="E876"/>
  <c r="F876"/>
  <c r="G876"/>
  <c r="H876"/>
  <c r="I876"/>
  <c r="J876"/>
  <c r="A877"/>
  <c r="B877"/>
  <c r="C877"/>
  <c r="D877"/>
  <c r="E877"/>
  <c r="F877"/>
  <c r="G877"/>
  <c r="H877"/>
  <c r="I877"/>
  <c r="J877"/>
  <c r="A878"/>
  <c r="B878"/>
  <c r="C878"/>
  <c r="D878"/>
  <c r="E878"/>
  <c r="F878"/>
  <c r="G878"/>
  <c r="H878"/>
  <c r="I878"/>
  <c r="J878"/>
  <c r="A879"/>
  <c r="B879"/>
  <c r="C879"/>
  <c r="D879"/>
  <c r="E879"/>
  <c r="F879"/>
  <c r="G879"/>
  <c r="H879"/>
  <c r="I879"/>
  <c r="J879"/>
  <c r="A880"/>
  <c r="B880"/>
  <c r="C880"/>
  <c r="D880"/>
  <c r="E880"/>
  <c r="F880"/>
  <c r="G880"/>
  <c r="H880"/>
  <c r="I880"/>
  <c r="J880"/>
  <c r="A881"/>
  <c r="B881"/>
  <c r="C881"/>
  <c r="D881"/>
  <c r="E881"/>
  <c r="F881"/>
  <c r="G881"/>
  <c r="H881"/>
  <c r="I881"/>
  <c r="J881"/>
  <c r="A882"/>
  <c r="B882"/>
  <c r="C882"/>
  <c r="D882"/>
  <c r="E882"/>
  <c r="F882"/>
  <c r="G882"/>
  <c r="H882"/>
  <c r="I882"/>
  <c r="J882"/>
  <c r="A883"/>
  <c r="B883"/>
  <c r="C883"/>
  <c r="D883"/>
  <c r="E883"/>
  <c r="F883"/>
  <c r="G883"/>
  <c r="H883"/>
  <c r="I883"/>
  <c r="J883"/>
  <c r="A884"/>
  <c r="B884"/>
  <c r="C884"/>
  <c r="D884"/>
  <c r="E884"/>
  <c r="F884"/>
  <c r="G884"/>
  <c r="H884"/>
  <c r="I884"/>
  <c r="J884"/>
  <c r="A885"/>
  <c r="B885"/>
  <c r="C885"/>
  <c r="D885"/>
  <c r="E885"/>
  <c r="F885"/>
  <c r="G885"/>
  <c r="H885"/>
  <c r="I885"/>
  <c r="J885"/>
  <c r="A886"/>
  <c r="B886"/>
  <c r="C886"/>
  <c r="D886"/>
  <c r="E886"/>
  <c r="F886"/>
  <c r="G886"/>
  <c r="H886"/>
  <c r="I886"/>
  <c r="J886"/>
  <c r="A887"/>
  <c r="B887"/>
  <c r="C887"/>
  <c r="D887"/>
  <c r="E887"/>
  <c r="F887"/>
  <c r="G887"/>
  <c r="H887"/>
  <c r="I887"/>
  <c r="J887"/>
  <c r="A888"/>
  <c r="B888"/>
  <c r="C888"/>
  <c r="D888"/>
  <c r="E888"/>
  <c r="F888"/>
  <c r="G888"/>
  <c r="H888"/>
  <c r="I888"/>
  <c r="J888"/>
  <c r="A889"/>
  <c r="B889"/>
  <c r="C889"/>
  <c r="D889"/>
  <c r="E889"/>
  <c r="F889"/>
  <c r="G889"/>
  <c r="H889"/>
  <c r="I889"/>
  <c r="J889"/>
  <c r="A890"/>
  <c r="B890"/>
  <c r="C890"/>
  <c r="D890"/>
  <c r="E890"/>
  <c r="F890"/>
  <c r="G890"/>
  <c r="H890"/>
  <c r="I890"/>
  <c r="J890"/>
  <c r="A891"/>
  <c r="B891"/>
  <c r="C891"/>
  <c r="D891"/>
  <c r="E891"/>
  <c r="F891"/>
  <c r="G891"/>
  <c r="H891"/>
  <c r="I891"/>
  <c r="J891"/>
  <c r="A892"/>
  <c r="B892"/>
  <c r="C892"/>
  <c r="D892"/>
  <c r="E892"/>
  <c r="F892"/>
  <c r="G892"/>
  <c r="H892"/>
  <c r="I892"/>
  <c r="J892"/>
  <c r="A893"/>
  <c r="B893"/>
  <c r="C893"/>
  <c r="D893"/>
  <c r="E893"/>
  <c r="F893"/>
  <c r="G893"/>
  <c r="H893"/>
  <c r="I893"/>
  <c r="J893"/>
  <c r="A894"/>
  <c r="B894"/>
  <c r="C894"/>
  <c r="D894"/>
  <c r="E894"/>
  <c r="F894"/>
  <c r="G894"/>
  <c r="H894"/>
  <c r="I894"/>
  <c r="J894"/>
  <c r="A895"/>
  <c r="B895"/>
  <c r="C895"/>
  <c r="D895"/>
  <c r="E895"/>
  <c r="F895"/>
  <c r="G895"/>
  <c r="H895"/>
  <c r="I895"/>
  <c r="J895"/>
  <c r="A896"/>
  <c r="B896"/>
  <c r="C896"/>
  <c r="D896"/>
  <c r="E896"/>
  <c r="F896"/>
  <c r="G896"/>
  <c r="H896"/>
  <c r="I896"/>
  <c r="J896"/>
  <c r="A897"/>
  <c r="B897"/>
  <c r="C897"/>
  <c r="D897"/>
  <c r="E897"/>
  <c r="F897"/>
  <c r="G897"/>
  <c r="H897"/>
  <c r="I897"/>
  <c r="J897"/>
  <c r="A898"/>
  <c r="B898"/>
  <c r="C898"/>
  <c r="D898"/>
  <c r="E898"/>
  <c r="F898"/>
  <c r="G898"/>
  <c r="H898"/>
  <c r="I898"/>
  <c r="J898"/>
  <c r="A899"/>
  <c r="B899"/>
  <c r="C899"/>
  <c r="D899"/>
  <c r="E899"/>
  <c r="F899"/>
  <c r="G899"/>
  <c r="H899"/>
  <c r="I899"/>
  <c r="J899"/>
  <c r="A900"/>
  <c r="B900"/>
  <c r="C900"/>
  <c r="D900"/>
  <c r="E900"/>
  <c r="F900"/>
  <c r="G900"/>
  <c r="H900"/>
  <c r="I900"/>
  <c r="J900"/>
  <c r="A901"/>
  <c r="B901"/>
  <c r="C901"/>
  <c r="D901"/>
  <c r="E901"/>
  <c r="F901"/>
  <c r="G901"/>
  <c r="H901"/>
  <c r="I901"/>
  <c r="J901"/>
  <c r="A902"/>
  <c r="B902"/>
  <c r="C902"/>
  <c r="D902"/>
  <c r="E902"/>
  <c r="F902"/>
  <c r="G902"/>
  <c r="H902"/>
  <c r="I902"/>
  <c r="J902"/>
  <c r="A903"/>
  <c r="B903"/>
  <c r="C903"/>
  <c r="D903"/>
  <c r="E903"/>
  <c r="F903"/>
  <c r="G903"/>
  <c r="H903"/>
  <c r="I903"/>
  <c r="J903"/>
  <c r="A904"/>
  <c r="B904"/>
  <c r="C904"/>
  <c r="D904"/>
  <c r="E904"/>
  <c r="F904"/>
  <c r="G904"/>
  <c r="H904"/>
  <c r="I904"/>
  <c r="J904"/>
  <c r="A905"/>
  <c r="B905"/>
  <c r="C905"/>
  <c r="D905"/>
  <c r="E905"/>
  <c r="F905"/>
  <c r="G905"/>
  <c r="H905"/>
  <c r="I905"/>
  <c r="J905"/>
  <c r="A906"/>
  <c r="B906"/>
  <c r="C906"/>
  <c r="D906"/>
  <c r="E906"/>
  <c r="F906"/>
  <c r="G906"/>
  <c r="H906"/>
  <c r="I906"/>
  <c r="J906"/>
  <c r="A907"/>
  <c r="B907"/>
  <c r="C907"/>
  <c r="D907"/>
  <c r="E907"/>
  <c r="F907"/>
  <c r="G907"/>
  <c r="H907"/>
  <c r="I907"/>
  <c r="J907"/>
  <c r="A908"/>
  <c r="B908"/>
  <c r="C908"/>
  <c r="D908"/>
  <c r="E908"/>
  <c r="F908"/>
  <c r="G908"/>
  <c r="H908"/>
  <c r="I908"/>
  <c r="J908"/>
  <c r="A909"/>
  <c r="B909"/>
  <c r="C909"/>
  <c r="D909"/>
  <c r="E909"/>
  <c r="F909"/>
  <c r="G909"/>
  <c r="H909"/>
  <c r="I909"/>
  <c r="J909"/>
  <c r="A910"/>
  <c r="B910"/>
  <c r="C910"/>
  <c r="D910"/>
  <c r="E910"/>
  <c r="F910"/>
  <c r="G910"/>
  <c r="H910"/>
  <c r="I910"/>
  <c r="J910"/>
  <c r="A911"/>
  <c r="B911"/>
  <c r="C911"/>
  <c r="D911"/>
  <c r="E911"/>
  <c r="F911"/>
  <c r="G911"/>
  <c r="H911"/>
  <c r="I911"/>
  <c r="J911"/>
  <c r="A912"/>
  <c r="B912"/>
  <c r="C912"/>
  <c r="D912"/>
  <c r="E912"/>
  <c r="F912"/>
  <c r="G912"/>
  <c r="H912"/>
  <c r="I912"/>
  <c r="J912"/>
  <c r="A913"/>
  <c r="B913"/>
  <c r="C913"/>
  <c r="D913"/>
  <c r="E913"/>
  <c r="F913"/>
  <c r="G913"/>
  <c r="H913"/>
  <c r="I913"/>
  <c r="J913"/>
  <c r="A914"/>
  <c r="B914"/>
  <c r="C914"/>
  <c r="D914"/>
  <c r="E914"/>
  <c r="F914"/>
  <c r="G914"/>
  <c r="H914"/>
  <c r="I914"/>
  <c r="J914"/>
  <c r="A915"/>
  <c r="B915"/>
  <c r="C915"/>
  <c r="D915"/>
  <c r="E915"/>
  <c r="F915"/>
  <c r="G915"/>
  <c r="H915"/>
  <c r="I915"/>
  <c r="J915"/>
  <c r="A916"/>
  <c r="B916"/>
  <c r="C916"/>
  <c r="D916"/>
  <c r="E916"/>
  <c r="F916"/>
  <c r="G916"/>
  <c r="H916"/>
  <c r="I916"/>
  <c r="J916"/>
  <c r="A917"/>
  <c r="B917"/>
  <c r="C917"/>
  <c r="D917"/>
  <c r="E917"/>
  <c r="F917"/>
  <c r="G917"/>
  <c r="H917"/>
  <c r="I917"/>
  <c r="J917"/>
  <c r="A918"/>
  <c r="B918"/>
  <c r="C918"/>
  <c r="D918"/>
  <c r="E918"/>
  <c r="F918"/>
  <c r="G918"/>
  <c r="H918"/>
  <c r="I918"/>
  <c r="J918"/>
  <c r="A919"/>
  <c r="B919"/>
  <c r="C919"/>
  <c r="D919"/>
  <c r="E919"/>
  <c r="F919"/>
  <c r="G919"/>
  <c r="H919"/>
  <c r="I919"/>
  <c r="J919"/>
  <c r="A920"/>
  <c r="B920"/>
  <c r="C920"/>
  <c r="D920"/>
  <c r="E920"/>
  <c r="F920"/>
  <c r="G920"/>
  <c r="H920"/>
  <c r="I920"/>
  <c r="J920"/>
  <c r="A921"/>
  <c r="B921"/>
  <c r="C921"/>
  <c r="D921"/>
  <c r="E921"/>
  <c r="F921"/>
  <c r="G921"/>
  <c r="H921"/>
  <c r="I921"/>
  <c r="J921"/>
  <c r="A922"/>
  <c r="B922"/>
  <c r="C922"/>
  <c r="D922"/>
  <c r="E922"/>
  <c r="F922"/>
  <c r="G922"/>
  <c r="H922"/>
  <c r="I922"/>
  <c r="J922"/>
  <c r="A923"/>
  <c r="B923"/>
  <c r="C923"/>
  <c r="D923"/>
  <c r="E923"/>
  <c r="F923"/>
  <c r="G923"/>
  <c r="H923"/>
  <c r="I923"/>
  <c r="J923"/>
  <c r="A924"/>
  <c r="B924"/>
  <c r="C924"/>
  <c r="D924"/>
  <c r="E924"/>
  <c r="F924"/>
  <c r="G924"/>
  <c r="H924"/>
  <c r="I924"/>
  <c r="J924"/>
  <c r="A925"/>
  <c r="B925"/>
  <c r="C925"/>
  <c r="D925"/>
  <c r="E925"/>
  <c r="F925"/>
  <c r="G925"/>
  <c r="H925"/>
  <c r="I925"/>
  <c r="J925"/>
  <c r="A926"/>
  <c r="B926"/>
  <c r="C926"/>
  <c r="D926"/>
  <c r="E926"/>
  <c r="F926"/>
  <c r="G926"/>
  <c r="H926"/>
  <c r="I926"/>
  <c r="J926"/>
  <c r="A927"/>
  <c r="B927"/>
  <c r="C927"/>
  <c r="D927"/>
  <c r="E927"/>
  <c r="F927"/>
  <c r="G927"/>
  <c r="H927"/>
  <c r="I927"/>
  <c r="J927"/>
  <c r="A928"/>
  <c r="B928"/>
  <c r="C928"/>
  <c r="D928"/>
  <c r="E928"/>
  <c r="F928"/>
  <c r="G928"/>
  <c r="H928"/>
  <c r="I928"/>
  <c r="J928"/>
  <c r="A929"/>
  <c r="B929"/>
  <c r="C929"/>
  <c r="D929"/>
  <c r="E929"/>
  <c r="F929"/>
  <c r="G929"/>
  <c r="H929"/>
  <c r="I929"/>
  <c r="J929"/>
  <c r="A930"/>
  <c r="B930"/>
  <c r="C930"/>
  <c r="D930"/>
  <c r="E930"/>
  <c r="F930"/>
  <c r="G930"/>
  <c r="H930"/>
  <c r="I930"/>
  <c r="J930"/>
  <c r="A931"/>
  <c r="B931"/>
  <c r="C931"/>
  <c r="D931"/>
  <c r="E931"/>
  <c r="F931"/>
  <c r="G931"/>
  <c r="H931"/>
  <c r="I931"/>
  <c r="J931"/>
  <c r="A932"/>
  <c r="B932"/>
  <c r="C932"/>
  <c r="D932"/>
  <c r="E932"/>
  <c r="F932"/>
  <c r="G932"/>
  <c r="H932"/>
  <c r="I932"/>
  <c r="J932"/>
  <c r="A933"/>
  <c r="B933"/>
  <c r="C933"/>
  <c r="D933"/>
  <c r="E933"/>
  <c r="F933"/>
  <c r="G933"/>
  <c r="H933"/>
  <c r="I933"/>
  <c r="J933"/>
  <c r="A934"/>
  <c r="B934"/>
  <c r="C934"/>
  <c r="D934"/>
  <c r="E934"/>
  <c r="F934"/>
  <c r="G934"/>
  <c r="H934"/>
  <c r="I934"/>
  <c r="J934"/>
  <c r="A935"/>
  <c r="B935"/>
  <c r="C935"/>
  <c r="D935"/>
  <c r="E935"/>
  <c r="F935"/>
  <c r="G935"/>
  <c r="H935"/>
  <c r="I935"/>
  <c r="J935"/>
  <c r="A936"/>
  <c r="B936"/>
  <c r="C936"/>
  <c r="D936"/>
  <c r="E936"/>
  <c r="F936"/>
  <c r="G936"/>
  <c r="H936"/>
  <c r="I936"/>
  <c r="J936"/>
  <c r="A937"/>
  <c r="B937"/>
  <c r="C937"/>
  <c r="D937"/>
  <c r="E937"/>
  <c r="F937"/>
  <c r="G937"/>
  <c r="H937"/>
  <c r="I937"/>
  <c r="J937"/>
  <c r="A938"/>
  <c r="B938"/>
  <c r="C938"/>
  <c r="D938"/>
  <c r="E938"/>
  <c r="F938"/>
  <c r="G938"/>
  <c r="H938"/>
  <c r="I938"/>
  <c r="J938"/>
  <c r="A939"/>
  <c r="B939"/>
  <c r="C939"/>
  <c r="D939"/>
  <c r="E939"/>
  <c r="F939"/>
  <c r="G939"/>
  <c r="H939"/>
  <c r="I939"/>
  <c r="J939"/>
  <c r="A940"/>
  <c r="B940"/>
  <c r="C940"/>
  <c r="D940"/>
  <c r="E940"/>
  <c r="F940"/>
  <c r="G940"/>
  <c r="H940"/>
  <c r="I940"/>
  <c r="J940"/>
  <c r="A941"/>
  <c r="B941"/>
  <c r="C941"/>
  <c r="D941"/>
  <c r="E941"/>
  <c r="F941"/>
  <c r="G941"/>
  <c r="H941"/>
  <c r="I941"/>
  <c r="J941"/>
  <c r="A942"/>
  <c r="B942"/>
  <c r="C942"/>
  <c r="D942"/>
  <c r="E942"/>
  <c r="F942"/>
  <c r="G942"/>
  <c r="H942"/>
  <c r="I942"/>
  <c r="J942"/>
  <c r="A943"/>
  <c r="B943"/>
  <c r="C943"/>
  <c r="D943"/>
  <c r="E943"/>
  <c r="F943"/>
  <c r="G943"/>
  <c r="H943"/>
  <c r="I943"/>
  <c r="J943"/>
  <c r="A944"/>
  <c r="B944"/>
  <c r="C944"/>
  <c r="D944"/>
  <c r="E944"/>
  <c r="F944"/>
  <c r="G944"/>
  <c r="H944"/>
  <c r="I944"/>
  <c r="J944"/>
  <c r="A945"/>
  <c r="B945"/>
  <c r="C945"/>
  <c r="D945"/>
  <c r="E945"/>
  <c r="F945"/>
  <c r="G945"/>
  <c r="H945"/>
  <c r="I945"/>
  <c r="J945"/>
  <c r="A946"/>
  <c r="B946"/>
  <c r="C946"/>
  <c r="D946"/>
  <c r="E946"/>
  <c r="F946"/>
  <c r="G946"/>
  <c r="H946"/>
  <c r="I946"/>
  <c r="J946"/>
  <c r="A947"/>
  <c r="B947"/>
  <c r="C947"/>
  <c r="D947"/>
  <c r="E947"/>
  <c r="F947"/>
  <c r="G947"/>
  <c r="H947"/>
  <c r="I947"/>
  <c r="J947"/>
</calcChain>
</file>

<file path=xl/sharedStrings.xml><?xml version="1.0" encoding="utf-8"?>
<sst xmlns="http://schemas.openxmlformats.org/spreadsheetml/2006/main" count="3" uniqueCount="3">
  <si>
    <t>SENS Y SAT PARA R19X, R164X  TEST SET</t>
  </si>
  <si>
    <t>R19X,164X BW TEST SET RACK</t>
  </si>
  <si>
    <t>ESTRUCTURAS DE AC 2,4 &amp; ALMACEN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</si>
</sst>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47"/>
  <sheetViews>
    <sheetView tabSelected="1" workbookViewId="0"/>
  </sheetViews>
  <sheetFormatPr defaultRowHeight="14.4"/>
  <sheetData>
    <row r="1" spans="1:10">
      <c r="A1" t="str">
        <f>"EQUIP_ID"</f>
        <v>EQUIP_ID</v>
      </c>
      <c r="B1" t="str">
        <f>"STATUS_ID"</f>
        <v>STATUS_ID</v>
      </c>
      <c r="C1" t="str">
        <f>"AREA_ID"</f>
        <v>AREA_ID</v>
      </c>
      <c r="D1" t="str">
        <f>"ASSET_ID"</f>
        <v>ASSET_ID</v>
      </c>
      <c r="E1" t="str">
        <f>"SERIAL_NUM"</f>
        <v>SERIAL_NUM</v>
      </c>
      <c r="F1" t="str">
        <f>"MODEL"</f>
        <v>MODEL</v>
      </c>
      <c r="G1" t="str">
        <f>"DESCRIPTION"</f>
        <v>DESCRIPTION</v>
      </c>
      <c r="H1" t="str">
        <f>"RESP_ENG"</f>
        <v>RESP_ENG</v>
      </c>
      <c r="I1" t="str">
        <f>"SUPPLIER_ID"</f>
        <v>SUPPLIER_ID</v>
      </c>
      <c r="J1" t="str">
        <f>"DELETED"</f>
        <v>DELETED</v>
      </c>
    </row>
    <row r="2" spans="1:10">
      <c r="A2" t="str">
        <f>"LE-053-02198"</f>
        <v>LE-053-02198</v>
      </c>
      <c r="B2" t="str">
        <f>"ACT"</f>
        <v>ACT</v>
      </c>
      <c r="C2" t="str">
        <f>"27"</f>
        <v>27</v>
      </c>
      <c r="D2" t="str">
        <f>"TQP01373"</f>
        <v>TQP01373</v>
      </c>
      <c r="E2" t="str">
        <f>"ISO200502-002"</f>
        <v>ISO200502-002</v>
      </c>
      <c r="F2" t="str">
        <f>"ISO200502"</f>
        <v>ISO200502</v>
      </c>
      <c r="G2" t="str">
        <f>"FLOW HOOD-B"</f>
        <v>FLOW HOOD-B</v>
      </c>
      <c r="H2" t="str">
        <f>"jhernandez"</f>
        <v>jhernandez</v>
      </c>
      <c r="I2" t="str">
        <f>"039"</f>
        <v>039</v>
      </c>
      <c r="J2" t="str">
        <f t="shared" ref="J2:J33" si="0">"N"</f>
        <v>N</v>
      </c>
    </row>
    <row r="3" spans="1:10">
      <c r="A3" t="str">
        <f>"LE-097-01097"</f>
        <v>LE-097-01097</v>
      </c>
      <c r="B3" t="str">
        <f>"ACT"</f>
        <v>ACT</v>
      </c>
      <c r="C3" t="str">
        <f>"16"</f>
        <v>16</v>
      </c>
      <c r="D3" t="str">
        <f>"N/A"</f>
        <v>N/A</v>
      </c>
      <c r="E3" t="str">
        <f>"505007-002"</f>
        <v>505007-002</v>
      </c>
      <c r="F3" t="str">
        <f>"DH125AVAAEI"</f>
        <v>DH125AVAAEI</v>
      </c>
      <c r="G3" t="str">
        <f>"AIR HANDLER D-C1"</f>
        <v>AIR HANDLER D-C1</v>
      </c>
      <c r="H3" t="str">
        <f>"jmaldonado"</f>
        <v>jmaldonado</v>
      </c>
      <c r="I3" t="str">
        <f>"045"</f>
        <v>045</v>
      </c>
      <c r="J3" t="str">
        <f t="shared" si="0"/>
        <v>N</v>
      </c>
    </row>
    <row r="4" spans="1:10">
      <c r="A4" t="str">
        <f>"LE-097-01098"</f>
        <v>LE-097-01098</v>
      </c>
      <c r="B4" t="str">
        <f>"ACT"</f>
        <v>ACT</v>
      </c>
      <c r="C4" t="str">
        <f>"16"</f>
        <v>16</v>
      </c>
      <c r="D4" t="str">
        <f>"N/A"</f>
        <v>N/A</v>
      </c>
      <c r="E4" t="str">
        <f>"505007-001"</f>
        <v>505007-001</v>
      </c>
      <c r="F4" t="str">
        <f>"DH125AVAAEI"</f>
        <v>DH125AVAAEI</v>
      </c>
      <c r="G4" t="str">
        <f>"AIR HANDLER D-C2"</f>
        <v>AIR HANDLER D-C2</v>
      </c>
      <c r="H4" t="str">
        <f>"jmaldonado"</f>
        <v>jmaldonado</v>
      </c>
      <c r="I4" t="str">
        <f>"045"</f>
        <v>045</v>
      </c>
      <c r="J4" t="str">
        <f t="shared" si="0"/>
        <v>N</v>
      </c>
    </row>
    <row r="5" spans="1:10">
      <c r="A5" t="str">
        <f>"LE-053-02199"</f>
        <v>LE-053-02199</v>
      </c>
      <c r="B5" t="str">
        <f>"ACT"</f>
        <v>ACT</v>
      </c>
      <c r="C5" t="str">
        <f>"27"</f>
        <v>27</v>
      </c>
      <c r="D5" t="str">
        <f>"TQP01374"</f>
        <v>TQP01374</v>
      </c>
      <c r="E5" t="str">
        <f>"ISO200502-003"</f>
        <v>ISO200502-003</v>
      </c>
      <c r="F5" t="str">
        <f>"ISO200502"</f>
        <v>ISO200502</v>
      </c>
      <c r="G5" t="str">
        <f>"FLOW HOOD-B"</f>
        <v>FLOW HOOD-B</v>
      </c>
      <c r="H5" t="str">
        <f>"mjezzini"</f>
        <v>mjezzini</v>
      </c>
      <c r="I5" t="str">
        <f>"039"</f>
        <v>039</v>
      </c>
      <c r="J5" t="str">
        <f t="shared" si="0"/>
        <v>N</v>
      </c>
    </row>
    <row r="6" spans="1:10">
      <c r="A6" t="str">
        <f>"LE-053-02196"</f>
        <v>LE-053-02196</v>
      </c>
      <c r="B6" t="str">
        <f>"ACT"</f>
        <v>ACT</v>
      </c>
      <c r="C6" t="str">
        <f>"27"</f>
        <v>27</v>
      </c>
      <c r="D6" t="str">
        <f>"TQP01375"</f>
        <v>TQP01375</v>
      </c>
      <c r="E6" t="str">
        <f>"ISO200502-001"</f>
        <v>ISO200502-001</v>
      </c>
      <c r="F6" t="str">
        <f>"ISO200502"</f>
        <v>ISO200502</v>
      </c>
      <c r="G6" t="str">
        <f>"FLOW HOOD-B"</f>
        <v>FLOW HOOD-B</v>
      </c>
      <c r="H6" t="str">
        <f>"jhernandez"</f>
        <v>jhernandez</v>
      </c>
      <c r="I6" t="str">
        <f>"039"</f>
        <v>039</v>
      </c>
      <c r="J6" t="str">
        <f t="shared" si="0"/>
        <v>N</v>
      </c>
    </row>
    <row r="7" spans="1:10">
      <c r="A7" t="str">
        <f>"LE-095-00630"</f>
        <v>LE-095-00630</v>
      </c>
      <c r="B7" t="str">
        <f>"INACT"</f>
        <v>INACT</v>
      </c>
      <c r="C7" t="str">
        <f t="shared" ref="C7:C25" si="1">"16"</f>
        <v>16</v>
      </c>
      <c r="D7" t="str">
        <f t="shared" ref="D7:D24" si="2">"N/A"</f>
        <v>N/A</v>
      </c>
      <c r="E7" t="str">
        <f>"154864"</f>
        <v>154864</v>
      </c>
      <c r="F7" t="str">
        <f>"150"</f>
        <v>150</v>
      </c>
      <c r="G7" t="str">
        <f>"FOOD WASTE DISPOSER"</f>
        <v>FOOD WASTE DISPOSER</v>
      </c>
      <c r="H7" t="str">
        <f t="shared" ref="H7:H25" si="3">"jmaldonado"</f>
        <v>jmaldonado</v>
      </c>
      <c r="I7" t="str">
        <f>"101"</f>
        <v>101</v>
      </c>
      <c r="J7" t="str">
        <f t="shared" si="0"/>
        <v>N</v>
      </c>
    </row>
    <row r="8" spans="1:10">
      <c r="A8" t="str">
        <f>"0403FC00"</f>
        <v>0403FC00</v>
      </c>
      <c r="B8" t="str">
        <f>"INACT"</f>
        <v>INACT</v>
      </c>
      <c r="C8" t="str">
        <f t="shared" si="1"/>
        <v>16</v>
      </c>
      <c r="D8" t="str">
        <f t="shared" si="2"/>
        <v>N/A</v>
      </c>
      <c r="E8" t="str">
        <f>"1N-01206242"</f>
        <v>1N-01206242</v>
      </c>
      <c r="F8" t="str">
        <f>"JUNIOR 120"</f>
        <v>JUNIOR 120</v>
      </c>
      <c r="G8" t="str">
        <f>"WASHER WATER PRESSURE"</f>
        <v>WASHER WATER PRESSURE</v>
      </c>
      <c r="H8" t="str">
        <f t="shared" si="3"/>
        <v>jmaldonado</v>
      </c>
      <c r="I8" t="str">
        <f>"102"</f>
        <v>102</v>
      </c>
      <c r="J8" t="str">
        <f t="shared" si="0"/>
        <v>N</v>
      </c>
    </row>
    <row r="9" spans="1:10">
      <c r="A9" t="str">
        <f>"LE-096-00099"</f>
        <v>LE-096-00099</v>
      </c>
      <c r="B9" t="str">
        <f>"ACT"</f>
        <v>ACT</v>
      </c>
      <c r="C9" t="str">
        <f t="shared" si="1"/>
        <v>16</v>
      </c>
      <c r="D9" t="str">
        <f t="shared" si="2"/>
        <v>N/A</v>
      </c>
      <c r="E9" t="str">
        <f>"322427"</f>
        <v>322427</v>
      </c>
      <c r="F9" t="str">
        <f>"HCF3"</f>
        <v>HCF3</v>
      </c>
      <c r="G9" t="str">
        <f>"WATER FOUNTAIN-CAFETERIA"</f>
        <v>WATER FOUNTAIN-CAFETERIA</v>
      </c>
      <c r="H9" t="str">
        <f t="shared" si="3"/>
        <v>jmaldonado</v>
      </c>
      <c r="I9" t="str">
        <f>"103"</f>
        <v>103</v>
      </c>
      <c r="J9" t="str">
        <f t="shared" si="0"/>
        <v>N</v>
      </c>
    </row>
    <row r="10" spans="1:10">
      <c r="A10" t="str">
        <f>"LE-096-00102"</f>
        <v>LE-096-00102</v>
      </c>
      <c r="B10" t="str">
        <f>"ACT"</f>
        <v>ACT</v>
      </c>
      <c r="C10" t="str">
        <f t="shared" si="1"/>
        <v>16</v>
      </c>
      <c r="D10" t="str">
        <f t="shared" si="2"/>
        <v>N/A</v>
      </c>
      <c r="E10" t="str">
        <f>"322420"</f>
        <v>322420</v>
      </c>
      <c r="F10" t="str">
        <f>"HCF3"</f>
        <v>HCF3</v>
      </c>
      <c r="G10" t="str">
        <f>"WATER FOUNTAIN-PRODUCCION"</f>
        <v>WATER FOUNTAIN-PRODUCCION</v>
      </c>
      <c r="H10" t="str">
        <f t="shared" si="3"/>
        <v>jmaldonado</v>
      </c>
      <c r="I10" t="str">
        <f>"103"</f>
        <v>103</v>
      </c>
      <c r="J10" t="str">
        <f t="shared" si="0"/>
        <v>N</v>
      </c>
    </row>
    <row r="11" spans="1:10">
      <c r="A11" t="str">
        <f>"LE-096-00098"</f>
        <v>LE-096-00098</v>
      </c>
      <c r="B11" t="str">
        <f>"INACT"</f>
        <v>INACT</v>
      </c>
      <c r="C11" t="str">
        <f t="shared" si="1"/>
        <v>16</v>
      </c>
      <c r="D11" t="str">
        <f t="shared" si="2"/>
        <v>N/A</v>
      </c>
      <c r="E11" t="str">
        <f>"322428"</f>
        <v>322428</v>
      </c>
      <c r="F11" t="str">
        <f>"HCF3"</f>
        <v>HCF3</v>
      </c>
      <c r="G11" t="str">
        <f>"WATER FOUNTAIN-PRODUCCION"</f>
        <v>WATER FOUNTAIN-PRODUCCION</v>
      </c>
      <c r="H11" t="str">
        <f t="shared" si="3"/>
        <v>jmaldonado</v>
      </c>
      <c r="I11" t="str">
        <f>"103"</f>
        <v>103</v>
      </c>
      <c r="J11" t="str">
        <f t="shared" si="0"/>
        <v>N</v>
      </c>
    </row>
    <row r="12" spans="1:10">
      <c r="A12" t="str">
        <f>"LE-096-00100"</f>
        <v>LE-096-00100</v>
      </c>
      <c r="B12" t="str">
        <f>"ACT"</f>
        <v>ACT</v>
      </c>
      <c r="C12" t="str">
        <f t="shared" si="1"/>
        <v>16</v>
      </c>
      <c r="D12" t="str">
        <f t="shared" si="2"/>
        <v>N/A</v>
      </c>
      <c r="E12" t="str">
        <f>"91744"</f>
        <v>91744</v>
      </c>
      <c r="F12" t="str">
        <f>"HCF3"</f>
        <v>HCF3</v>
      </c>
      <c r="G12" t="str">
        <f>"WATER FOUNTAIN-PRODUCCION"</f>
        <v>WATER FOUNTAIN-PRODUCCION</v>
      </c>
      <c r="H12" t="str">
        <f t="shared" si="3"/>
        <v>jmaldonado</v>
      </c>
      <c r="I12" t="str">
        <f>"103"</f>
        <v>103</v>
      </c>
      <c r="J12" t="str">
        <f t="shared" si="0"/>
        <v>N</v>
      </c>
    </row>
    <row r="13" spans="1:10">
      <c r="A13" t="str">
        <f>"LE-096-00101"</f>
        <v>LE-096-00101</v>
      </c>
      <c r="B13" t="str">
        <f>"INACT"</f>
        <v>INACT</v>
      </c>
      <c r="C13" t="str">
        <f t="shared" si="1"/>
        <v>16</v>
      </c>
      <c r="D13" t="str">
        <f t="shared" si="2"/>
        <v>N/A</v>
      </c>
      <c r="E13" t="str">
        <f>"322426"</f>
        <v>322426</v>
      </c>
      <c r="F13" t="str">
        <f>"HCF3"</f>
        <v>HCF3</v>
      </c>
      <c r="G13" t="str">
        <f>"WATER FOUNTAIN-PRODUCTION"</f>
        <v>WATER FOUNTAIN-PRODUCTION</v>
      </c>
      <c r="H13" t="str">
        <f t="shared" si="3"/>
        <v>jmaldonado</v>
      </c>
      <c r="I13" t="str">
        <f>"103"</f>
        <v>103</v>
      </c>
      <c r="J13" t="str">
        <f t="shared" si="0"/>
        <v>N</v>
      </c>
    </row>
    <row r="14" spans="1:10">
      <c r="A14" t="str">
        <f>"LE-036-00661"</f>
        <v>LE-036-00661</v>
      </c>
      <c r="B14" t="str">
        <f>"ACT"</f>
        <v>ACT</v>
      </c>
      <c r="C14" t="str">
        <f t="shared" si="1"/>
        <v>16</v>
      </c>
      <c r="D14" t="str">
        <f t="shared" si="2"/>
        <v>N/A</v>
      </c>
      <c r="E14" t="str">
        <f>"2011181"</f>
        <v>2011181</v>
      </c>
      <c r="F14" t="str">
        <f>"75HP15"</f>
        <v>75HP15</v>
      </c>
      <c r="G14" t="str">
        <f>"WATER PUMP-EXTERNA"</f>
        <v>WATER PUMP-EXTERNA</v>
      </c>
      <c r="H14" t="str">
        <f t="shared" si="3"/>
        <v>jmaldonado</v>
      </c>
      <c r="I14" t="str">
        <f>"104"</f>
        <v>104</v>
      </c>
      <c r="J14" t="str">
        <f t="shared" si="0"/>
        <v>N</v>
      </c>
    </row>
    <row r="15" spans="1:10">
      <c r="A15" t="str">
        <f>"LE-036-00663"</f>
        <v>LE-036-00663</v>
      </c>
      <c r="B15" t="str">
        <f>"ACT"</f>
        <v>ACT</v>
      </c>
      <c r="C15" t="str">
        <f t="shared" si="1"/>
        <v>16</v>
      </c>
      <c r="D15" t="str">
        <f t="shared" si="2"/>
        <v>N/A</v>
      </c>
      <c r="E15" t="str">
        <f>"HD-0085328-01"</f>
        <v>HD-0085328-01</v>
      </c>
      <c r="F15" t="str">
        <f>"FD2-JUW"</f>
        <v>FD2-JUW</v>
      </c>
      <c r="G15" t="str">
        <f>" WATER PUM-FIRE EXTINGUISHER     "</f>
        <v xml:space="preserve"> WATER PUM-FIRE EXTINGUISHER     </v>
      </c>
      <c r="H15" t="str">
        <f t="shared" si="3"/>
        <v>jmaldonado</v>
      </c>
      <c r="I15" t="str">
        <f>"105"</f>
        <v>105</v>
      </c>
      <c r="J15" t="str">
        <f t="shared" si="0"/>
        <v>N</v>
      </c>
    </row>
    <row r="16" spans="1:10">
      <c r="A16" t="str">
        <f>"LE-065-00473"</f>
        <v>LE-065-00473</v>
      </c>
      <c r="B16" t="str">
        <f>"INACT"</f>
        <v>INACT</v>
      </c>
      <c r="C16" t="str">
        <f t="shared" si="1"/>
        <v>16</v>
      </c>
      <c r="D16" t="str">
        <f t="shared" si="2"/>
        <v>N/A</v>
      </c>
      <c r="E16" t="str">
        <f>"A99890"</f>
        <v>A99890</v>
      </c>
      <c r="F16" t="str">
        <f>"IA 11/2-5-2"</f>
        <v>IA 11/2-5-2</v>
      </c>
      <c r="G16" t="str">
        <f>"WATER PUMP-AGUA POTABLE"</f>
        <v>WATER PUMP-AGUA POTABLE</v>
      </c>
      <c r="H16" t="str">
        <f t="shared" si="3"/>
        <v>jmaldonado</v>
      </c>
      <c r="I16" t="str">
        <f>"106"</f>
        <v>106</v>
      </c>
      <c r="J16" t="str">
        <f t="shared" si="0"/>
        <v>N</v>
      </c>
    </row>
    <row r="17" spans="1:10">
      <c r="A17" t="str">
        <f>"LE-065-00474"</f>
        <v>LE-065-00474</v>
      </c>
      <c r="B17" t="str">
        <f>"ACT"</f>
        <v>ACT</v>
      </c>
      <c r="C17" t="str">
        <f t="shared" si="1"/>
        <v>16</v>
      </c>
      <c r="D17" t="str">
        <f t="shared" si="2"/>
        <v>N/A</v>
      </c>
      <c r="E17" t="str">
        <f>"A99882"</f>
        <v>A99882</v>
      </c>
      <c r="F17" t="str">
        <f>"IA 11/2-5-2"</f>
        <v>IA 11/2-5-2</v>
      </c>
      <c r="G17" t="str">
        <f>"WATER PUMP-AGUA POTABLE"</f>
        <v>WATER PUMP-AGUA POTABLE</v>
      </c>
      <c r="H17" t="str">
        <f t="shared" si="3"/>
        <v>jmaldonado</v>
      </c>
      <c r="I17" t="str">
        <f>"106"</f>
        <v>106</v>
      </c>
      <c r="J17" t="str">
        <f t="shared" si="0"/>
        <v>N</v>
      </c>
    </row>
    <row r="18" spans="1:10">
      <c r="A18" t="str">
        <f>"LE-065-00475"</f>
        <v>LE-065-00475</v>
      </c>
      <c r="B18" t="str">
        <f>"ACT"</f>
        <v>ACT</v>
      </c>
      <c r="C18" t="str">
        <f t="shared" si="1"/>
        <v>16</v>
      </c>
      <c r="D18" t="str">
        <f t="shared" si="2"/>
        <v>N/A</v>
      </c>
      <c r="E18" t="str">
        <f>"D0-199360"</f>
        <v>D0-199360</v>
      </c>
      <c r="F18" t="str">
        <f>"F392-110"</f>
        <v>F392-110</v>
      </c>
      <c r="G18" t="str">
        <f>" WATER PUM-FIRE EXTINGUISHER     "</f>
        <v xml:space="preserve"> WATER PUM-FIRE EXTINGUISHER     </v>
      </c>
      <c r="H18" t="str">
        <f t="shared" si="3"/>
        <v>jmaldonado</v>
      </c>
      <c r="I18" t="str">
        <f>"107"</f>
        <v>107</v>
      </c>
      <c r="J18" t="str">
        <f t="shared" si="0"/>
        <v>N</v>
      </c>
    </row>
    <row r="19" spans="1:10">
      <c r="A19" t="str">
        <f>"LE-065-00476"</f>
        <v>LE-065-00476</v>
      </c>
      <c r="B19" t="str">
        <f>"ACT"</f>
        <v>ACT</v>
      </c>
      <c r="C19" t="str">
        <f t="shared" si="1"/>
        <v>16</v>
      </c>
      <c r="D19" t="str">
        <f t="shared" si="2"/>
        <v>N/A</v>
      </c>
      <c r="E19" t="str">
        <f>"IG00H0040"</f>
        <v>IG00H0040</v>
      </c>
      <c r="F19" t="str">
        <f>"C48L2EC15"</f>
        <v>C48L2EC15</v>
      </c>
      <c r="G19" t="str">
        <f>"WATER PUMP-AGUA PURIFICADA"</f>
        <v>WATER PUMP-AGUA PURIFICADA</v>
      </c>
      <c r="H19" t="str">
        <f t="shared" si="3"/>
        <v>jmaldonado</v>
      </c>
      <c r="I19" t="str">
        <f>"108"</f>
        <v>108</v>
      </c>
      <c r="J19" t="str">
        <f t="shared" si="0"/>
        <v>N</v>
      </c>
    </row>
    <row r="20" spans="1:10">
      <c r="A20" t="str">
        <f>"LE-065-00477"</f>
        <v>LE-065-00477</v>
      </c>
      <c r="B20" t="str">
        <f>"ACT"</f>
        <v>ACT</v>
      </c>
      <c r="C20" t="str">
        <f t="shared" si="1"/>
        <v>16</v>
      </c>
      <c r="D20" t="str">
        <f t="shared" si="2"/>
        <v>N/A</v>
      </c>
      <c r="E20" t="str">
        <f>"1H00D0018"</f>
        <v>1H00D0018</v>
      </c>
      <c r="F20" t="str">
        <f>"C48L2EC15"</f>
        <v>C48L2EC15</v>
      </c>
      <c r="G20" t="str">
        <f>"WATER PUMP-AGUA PURIFICADA"</f>
        <v>WATER PUMP-AGUA PURIFICADA</v>
      </c>
      <c r="H20" t="str">
        <f t="shared" si="3"/>
        <v>jmaldonado</v>
      </c>
      <c r="I20" t="str">
        <f>"108"</f>
        <v>108</v>
      </c>
      <c r="J20" t="str">
        <f t="shared" si="0"/>
        <v>N</v>
      </c>
    </row>
    <row r="21" spans="1:10">
      <c r="A21" t="str">
        <f>"LE-065-00478"</f>
        <v>LE-065-00478</v>
      </c>
      <c r="B21" t="str">
        <f>"ACT"</f>
        <v>ACT</v>
      </c>
      <c r="C21" t="str">
        <f t="shared" si="1"/>
        <v>16</v>
      </c>
      <c r="D21" t="str">
        <f t="shared" si="2"/>
        <v>N/A</v>
      </c>
      <c r="E21" t="str">
        <f>"1F00J0007"</f>
        <v>1F00J0007</v>
      </c>
      <c r="F21" t="str">
        <f>"C48L2EC15"</f>
        <v>C48L2EC15</v>
      </c>
      <c r="G21" t="str">
        <f>"WATER PUMP-AGUA PURIFICADA"</f>
        <v>WATER PUMP-AGUA PURIFICADA</v>
      </c>
      <c r="H21" t="str">
        <f t="shared" si="3"/>
        <v>jmaldonado</v>
      </c>
      <c r="I21" t="str">
        <f>"108"</f>
        <v>108</v>
      </c>
      <c r="J21" t="str">
        <f t="shared" si="0"/>
        <v>N</v>
      </c>
    </row>
    <row r="22" spans="1:10">
      <c r="A22" t="str">
        <f>"LE-010-28873"</f>
        <v>LE-010-28873</v>
      </c>
      <c r="B22" t="str">
        <f>"INACT"</f>
        <v>INACT</v>
      </c>
      <c r="C22" t="str">
        <f t="shared" si="1"/>
        <v>16</v>
      </c>
      <c r="D22" t="str">
        <f t="shared" si="2"/>
        <v>N/A</v>
      </c>
      <c r="E22" t="str">
        <f>"1526955"</f>
        <v>1526955</v>
      </c>
      <c r="F22" t="str">
        <f>"16XP"</f>
        <v>16XP</v>
      </c>
      <c r="G22" t="str">
        <f>"ASPIRADORA"</f>
        <v>ASPIRADORA</v>
      </c>
      <c r="H22" t="str">
        <f t="shared" si="3"/>
        <v>jmaldonado</v>
      </c>
      <c r="I22" t="str">
        <f>"001"</f>
        <v>001</v>
      </c>
      <c r="J22" t="str">
        <f t="shared" si="0"/>
        <v>N</v>
      </c>
    </row>
    <row r="23" spans="1:10">
      <c r="A23" t="str">
        <f>"LE-010-28874"</f>
        <v>LE-010-28874</v>
      </c>
      <c r="B23" t="str">
        <f>"INACT"</f>
        <v>INACT</v>
      </c>
      <c r="C23" t="str">
        <f t="shared" si="1"/>
        <v>16</v>
      </c>
      <c r="D23" t="str">
        <f t="shared" si="2"/>
        <v>N/A</v>
      </c>
      <c r="E23" t="str">
        <f>"1526952"</f>
        <v>1526952</v>
      </c>
      <c r="F23" t="str">
        <f>"16XP"</f>
        <v>16XP</v>
      </c>
      <c r="G23" t="str">
        <f>"ASPIRADORA"</f>
        <v>ASPIRADORA</v>
      </c>
      <c r="H23" t="str">
        <f t="shared" si="3"/>
        <v>jmaldonado</v>
      </c>
      <c r="I23" t="str">
        <f>"001"</f>
        <v>001</v>
      </c>
      <c r="J23" t="str">
        <f t="shared" si="0"/>
        <v>N</v>
      </c>
    </row>
    <row r="24" spans="1:10">
      <c r="A24" t="str">
        <f>"0321FC00"</f>
        <v>0321FC00</v>
      </c>
      <c r="B24" t="str">
        <f>"INACT"</f>
        <v>INACT</v>
      </c>
      <c r="C24" t="str">
        <f t="shared" si="1"/>
        <v>16</v>
      </c>
      <c r="D24" t="str">
        <f t="shared" si="2"/>
        <v>N/A</v>
      </c>
      <c r="E24" t="str">
        <f>"1526953"</f>
        <v>1526953</v>
      </c>
      <c r="F24" t="str">
        <f>"16XP"</f>
        <v>16XP</v>
      </c>
      <c r="G24" t="str">
        <f>"ASPIRADORA"</f>
        <v>ASPIRADORA</v>
      </c>
      <c r="H24" t="str">
        <f t="shared" si="3"/>
        <v>jmaldonado</v>
      </c>
      <c r="I24" t="str">
        <f>"001"</f>
        <v>001</v>
      </c>
      <c r="J24" t="str">
        <f t="shared" si="0"/>
        <v>N</v>
      </c>
    </row>
    <row r="25" spans="1:10">
      <c r="A25" t="str">
        <f>"LE-084-00555"</f>
        <v>LE-084-00555</v>
      </c>
      <c r="B25" t="str">
        <f>"ACT"</f>
        <v>ACT</v>
      </c>
      <c r="C25" t="str">
        <f t="shared" si="1"/>
        <v>16</v>
      </c>
      <c r="D25" t="str">
        <f>"TQP01359"</f>
        <v>TQP01359</v>
      </c>
      <c r="E25" t="str">
        <f>"419008015857"</f>
        <v>419008015857</v>
      </c>
      <c r="F25" t="str">
        <f>"TI-500E CLASS III"</f>
        <v>TI-500E CLASS III</v>
      </c>
      <c r="G25" t="str">
        <f>"BASCULA DEL AREA DE RECICLAJE"</f>
        <v>BASCULA DEL AREA DE RECICLAJE</v>
      </c>
      <c r="H25" t="str">
        <f t="shared" si="3"/>
        <v>jmaldonado</v>
      </c>
      <c r="I25" t="str">
        <f>"109"</f>
        <v>109</v>
      </c>
      <c r="J25" t="str">
        <f t="shared" si="0"/>
        <v>N</v>
      </c>
    </row>
    <row r="26" spans="1:10">
      <c r="A26" t="str">
        <f>"LE-089-04364"</f>
        <v>LE-089-04364</v>
      </c>
      <c r="B26" t="str">
        <f>"INACT"</f>
        <v>INACT</v>
      </c>
      <c r="C26" t="str">
        <f>"10"</f>
        <v>10</v>
      </c>
      <c r="D26" t="str">
        <f>"TQP00380"</f>
        <v>TQP00380</v>
      </c>
      <c r="E26" t="str">
        <f>"N/A"</f>
        <v>N/A</v>
      </c>
      <c r="F26" t="str">
        <f>"M8"</f>
        <v>M8</v>
      </c>
      <c r="G26" t="str">
        <f t="shared" ref="G26:G33" si="4">"MICROSCOPE"</f>
        <v>MICROSCOPE</v>
      </c>
      <c r="H26" t="str">
        <f>"gramirez"</f>
        <v>gramirez</v>
      </c>
      <c r="I26" t="str">
        <f>"044"</f>
        <v>044</v>
      </c>
      <c r="J26" t="str">
        <f t="shared" si="0"/>
        <v>N</v>
      </c>
    </row>
    <row r="27" spans="1:10">
      <c r="A27" t="str">
        <f>"LE-089-05958"</f>
        <v>LE-089-05958</v>
      </c>
      <c r="B27" t="str">
        <f>"INACT"</f>
        <v>INACT</v>
      </c>
      <c r="C27" t="str">
        <f>"10"</f>
        <v>10</v>
      </c>
      <c r="D27" t="str">
        <f>"TQP00383"</f>
        <v>TQP00383</v>
      </c>
      <c r="E27" t="str">
        <f>"N/A"</f>
        <v>N/A</v>
      </c>
      <c r="F27" t="str">
        <f>"MZ12.5"</f>
        <v>MZ12.5</v>
      </c>
      <c r="G27" t="str">
        <f t="shared" si="4"/>
        <v>MICROSCOPE</v>
      </c>
      <c r="H27" t="str">
        <f>"gramirez"</f>
        <v>gramirez</v>
      </c>
      <c r="I27" t="str">
        <f>"044"</f>
        <v>044</v>
      </c>
      <c r="J27" t="str">
        <f t="shared" si="0"/>
        <v>N</v>
      </c>
    </row>
    <row r="28" spans="1:10">
      <c r="A28" t="str">
        <f>"LE-010-24166"</f>
        <v>LE-010-24166</v>
      </c>
      <c r="B28" t="str">
        <f>"ACT"</f>
        <v>ACT</v>
      </c>
      <c r="C28" t="str">
        <f>"18"</f>
        <v>18</v>
      </c>
      <c r="D28" t="str">
        <f>"N/A"</f>
        <v>N/A</v>
      </c>
      <c r="E28" t="str">
        <f>"0849-9001935"</f>
        <v>0849-9001935</v>
      </c>
      <c r="F28" t="str">
        <f>"LEICA"</f>
        <v>LEICA</v>
      </c>
      <c r="G28" t="str">
        <f t="shared" si="4"/>
        <v>MICROSCOPE</v>
      </c>
      <c r="H28" t="str">
        <f>"grobles"</f>
        <v>grobles</v>
      </c>
      <c r="I28" t="str">
        <f>"044"</f>
        <v>044</v>
      </c>
      <c r="J28" t="str">
        <f t="shared" si="0"/>
        <v>N</v>
      </c>
    </row>
    <row r="29" spans="1:10">
      <c r="A29" t="str">
        <f>"0319UR126"</f>
        <v>0319UR126</v>
      </c>
      <c r="B29" t="str">
        <f>"ACT"</f>
        <v>ACT</v>
      </c>
      <c r="C29" t="str">
        <f>"18"</f>
        <v>18</v>
      </c>
      <c r="D29" t="str">
        <f>"TQP01641"</f>
        <v>TQP01641</v>
      </c>
      <c r="E29" t="str">
        <f>"610010"</f>
        <v>610010</v>
      </c>
      <c r="F29" t="str">
        <f>"ECLIPSE L150"</f>
        <v>ECLIPSE L150</v>
      </c>
      <c r="G29" t="str">
        <f t="shared" si="4"/>
        <v>MICROSCOPE</v>
      </c>
      <c r="H29" t="str">
        <f>"grobles"</f>
        <v>grobles</v>
      </c>
      <c r="I29" t="str">
        <f>"052"</f>
        <v>052</v>
      </c>
      <c r="J29" t="str">
        <f t="shared" si="0"/>
        <v>N</v>
      </c>
    </row>
    <row r="30" spans="1:10">
      <c r="A30" t="str">
        <f>"0319UR141"</f>
        <v>0319UR141</v>
      </c>
      <c r="B30" t="str">
        <f>"ACT"</f>
        <v>ACT</v>
      </c>
      <c r="C30" t="str">
        <f>"18"</f>
        <v>18</v>
      </c>
      <c r="D30" t="str">
        <f>"TQP01672"</f>
        <v>TQP01672</v>
      </c>
      <c r="E30" t="str">
        <f>"N/A"</f>
        <v>N/A</v>
      </c>
      <c r="F30" t="str">
        <f>"SMZ 1000"</f>
        <v>SMZ 1000</v>
      </c>
      <c r="G30" t="str">
        <f t="shared" si="4"/>
        <v>MICROSCOPE</v>
      </c>
      <c r="H30" t="str">
        <f>"grobles"</f>
        <v>grobles</v>
      </c>
      <c r="I30" t="str">
        <f>"052"</f>
        <v>052</v>
      </c>
      <c r="J30" t="str">
        <f t="shared" si="0"/>
        <v>N</v>
      </c>
    </row>
    <row r="31" spans="1:10">
      <c r="A31" t="str">
        <f>"LE-010-28764"</f>
        <v>LE-010-28764</v>
      </c>
      <c r="B31" t="str">
        <f>"INACT"</f>
        <v>INACT</v>
      </c>
      <c r="C31" t="str">
        <f>"22"</f>
        <v>22</v>
      </c>
      <c r="D31" t="str">
        <f>"TQP00953"</f>
        <v>TQP00953</v>
      </c>
      <c r="E31" t="str">
        <f>"LYNX"</f>
        <v>LYNX</v>
      </c>
      <c r="F31" t="str">
        <f>"6445"</f>
        <v>6445</v>
      </c>
      <c r="G31" t="str">
        <f t="shared" si="4"/>
        <v>MICROSCOPE</v>
      </c>
      <c r="H31" t="str">
        <f>"jnieto"</f>
        <v>jnieto</v>
      </c>
      <c r="I31" t="str">
        <f>"073"</f>
        <v>073</v>
      </c>
      <c r="J31" t="str">
        <f t="shared" si="0"/>
        <v>N</v>
      </c>
    </row>
    <row r="32" spans="1:10">
      <c r="A32" t="str">
        <f>"LE-010-28765"</f>
        <v>LE-010-28765</v>
      </c>
      <c r="B32" t="str">
        <f>"INACT"</f>
        <v>INACT</v>
      </c>
      <c r="C32" t="str">
        <f>"22"</f>
        <v>22</v>
      </c>
      <c r="D32" t="str">
        <f>"TQP00950"</f>
        <v>TQP00950</v>
      </c>
      <c r="E32" t="str">
        <f>"LYNX"</f>
        <v>LYNX</v>
      </c>
      <c r="F32" t="str">
        <f>"N/A"</f>
        <v>N/A</v>
      </c>
      <c r="G32" t="str">
        <f t="shared" si="4"/>
        <v>MICROSCOPE</v>
      </c>
      <c r="H32" t="str">
        <f>"jnieto"</f>
        <v>jnieto</v>
      </c>
      <c r="I32" t="str">
        <f>"073"</f>
        <v>073</v>
      </c>
      <c r="J32" t="str">
        <f t="shared" si="0"/>
        <v>N</v>
      </c>
    </row>
    <row r="33" spans="1:10">
      <c r="A33" t="str">
        <f>"LE-089-05765"</f>
        <v>LE-089-05765</v>
      </c>
      <c r="B33" t="str">
        <f t="shared" ref="B33:B38" si="5">"ACT"</f>
        <v>ACT</v>
      </c>
      <c r="C33" t="str">
        <f>"04"</f>
        <v>04</v>
      </c>
      <c r="D33" t="str">
        <f>"TQP00414"</f>
        <v>TQP00414</v>
      </c>
      <c r="E33" t="str">
        <f>"900169"</f>
        <v>900169</v>
      </c>
      <c r="F33" t="str">
        <f>"MZ7.5"</f>
        <v>MZ7.5</v>
      </c>
      <c r="G33" t="str">
        <f t="shared" si="4"/>
        <v>MICROSCOPE</v>
      </c>
      <c r="H33" t="str">
        <f>"gramirez"</f>
        <v>gramirez</v>
      </c>
      <c r="I33" t="str">
        <f>"044"</f>
        <v>044</v>
      </c>
      <c r="J33" t="str">
        <f t="shared" si="0"/>
        <v>N</v>
      </c>
    </row>
    <row r="34" spans="1:10">
      <c r="A34" t="str">
        <f>"LE-010-23250"</f>
        <v>LE-010-23250</v>
      </c>
      <c r="B34" t="str">
        <f t="shared" si="5"/>
        <v>ACT</v>
      </c>
      <c r="C34" t="str">
        <f>"07"</f>
        <v>07</v>
      </c>
      <c r="D34" t="str">
        <f>"TQP00351"</f>
        <v>TQP00351</v>
      </c>
      <c r="E34" t="str">
        <f>"N/A"</f>
        <v>N/A</v>
      </c>
      <c r="F34" t="str">
        <f>"NEW PLATFORM"</f>
        <v>NEW PLATFORM</v>
      </c>
      <c r="G34" t="str">
        <f>"SOLDER STATION"</f>
        <v>SOLDER STATION</v>
      </c>
      <c r="H34" t="str">
        <f>"rramones"</f>
        <v>rramones</v>
      </c>
      <c r="I34" t="str">
        <f>"081"</f>
        <v>081</v>
      </c>
      <c r="J34" t="str">
        <f t="shared" ref="J34:J65" si="6">"N"</f>
        <v>N</v>
      </c>
    </row>
    <row r="35" spans="1:10">
      <c r="A35" t="str">
        <f>"LE-010-24108"</f>
        <v>LE-010-24108</v>
      </c>
      <c r="B35" t="str">
        <f t="shared" si="5"/>
        <v>ACT</v>
      </c>
      <c r="C35" t="str">
        <f>"07"</f>
        <v>07</v>
      </c>
      <c r="D35" t="str">
        <f>"TQP00347"</f>
        <v>TQP00347</v>
      </c>
      <c r="E35" t="str">
        <f>"N/A"</f>
        <v>N/A</v>
      </c>
      <c r="F35" t="str">
        <f>"NEW PLATFORM"</f>
        <v>NEW PLATFORM</v>
      </c>
      <c r="G35" t="str">
        <f>"SOLDER STATION"</f>
        <v>SOLDER STATION</v>
      </c>
      <c r="H35" t="str">
        <f>"rramones"</f>
        <v>rramones</v>
      </c>
      <c r="I35" t="str">
        <f>"081"</f>
        <v>081</v>
      </c>
      <c r="J35" t="str">
        <f t="shared" si="6"/>
        <v>N</v>
      </c>
    </row>
    <row r="36" spans="1:10">
      <c r="A36" t="str">
        <f>"LE-010-24098"</f>
        <v>LE-010-24098</v>
      </c>
      <c r="B36" t="str">
        <f t="shared" si="5"/>
        <v>ACT</v>
      </c>
      <c r="C36" t="str">
        <f>"07"</f>
        <v>07</v>
      </c>
      <c r="D36" t="str">
        <f>"TQP00345"</f>
        <v>TQP00345</v>
      </c>
      <c r="E36" t="str">
        <f>"N/A"</f>
        <v>N/A</v>
      </c>
      <c r="F36" t="str">
        <f>"NEW PLATFORM"</f>
        <v>NEW PLATFORM</v>
      </c>
      <c r="G36" t="str">
        <f>"SOLDER STATION"</f>
        <v>SOLDER STATION</v>
      </c>
      <c r="H36" t="str">
        <f>"rramones"</f>
        <v>rramones</v>
      </c>
      <c r="I36" t="str">
        <f>"081"</f>
        <v>081</v>
      </c>
      <c r="J36" t="str">
        <f t="shared" si="6"/>
        <v>N</v>
      </c>
    </row>
    <row r="37" spans="1:10">
      <c r="A37" t="str">
        <f>"LE-010-24099"</f>
        <v>LE-010-24099</v>
      </c>
      <c r="B37" t="str">
        <f t="shared" si="5"/>
        <v>ACT</v>
      </c>
      <c r="C37" t="str">
        <f>"07"</f>
        <v>07</v>
      </c>
      <c r="D37" t="str">
        <f>"TQP00343"</f>
        <v>TQP00343</v>
      </c>
      <c r="E37" t="str">
        <f>"N/A"</f>
        <v>N/A</v>
      </c>
      <c r="F37" t="str">
        <f>"NEW PLATFORM"</f>
        <v>NEW PLATFORM</v>
      </c>
      <c r="G37" t="str">
        <f>"SOLDER STATION"</f>
        <v>SOLDER STATION</v>
      </c>
      <c r="H37" t="str">
        <f>"rramones"</f>
        <v>rramones</v>
      </c>
      <c r="I37" t="str">
        <f>"081"</f>
        <v>081</v>
      </c>
      <c r="J37" t="str">
        <f t="shared" si="6"/>
        <v>N</v>
      </c>
    </row>
    <row r="38" spans="1:10">
      <c r="A38" t="str">
        <f>"0319UR05"</f>
        <v>0319UR05</v>
      </c>
      <c r="B38" t="str">
        <f t="shared" si="5"/>
        <v>ACT</v>
      </c>
      <c r="C38" t="str">
        <f>"08"</f>
        <v>08</v>
      </c>
      <c r="D38" t="str">
        <f>"TQP00311"</f>
        <v>TQP00311</v>
      </c>
      <c r="E38" t="str">
        <f>"10052818"</f>
        <v>10052818</v>
      </c>
      <c r="F38" t="str">
        <f>"57852A"</f>
        <v>57852A</v>
      </c>
      <c r="G38" t="str">
        <f>"SURFACE MOUNT BONDER # 01"</f>
        <v>SURFACE MOUNT BONDER # 01</v>
      </c>
      <c r="H38" t="str">
        <f>"garaiza"</f>
        <v>garaiza</v>
      </c>
      <c r="I38" t="str">
        <f>"072"</f>
        <v>072</v>
      </c>
      <c r="J38" t="str">
        <f t="shared" si="6"/>
        <v>N</v>
      </c>
    </row>
    <row r="39" spans="1:10">
      <c r="A39" t="str">
        <f>"LE-036-00669"</f>
        <v>LE-036-00669</v>
      </c>
      <c r="B39" t="str">
        <f>"INACT"</f>
        <v>INACT</v>
      </c>
      <c r="C39" t="str">
        <f>"16"</f>
        <v>16</v>
      </c>
      <c r="D39" t="str">
        <f t="shared" ref="D39:D44" si="7">"N/A"</f>
        <v>N/A</v>
      </c>
      <c r="E39" t="str">
        <f>"10736"</f>
        <v>10736</v>
      </c>
      <c r="F39" t="str">
        <f>"2708"</f>
        <v>2708</v>
      </c>
      <c r="G39" t="str">
        <f>"INSECT ELECTROCUTOR"</f>
        <v>INSECT ELECTROCUTOR</v>
      </c>
      <c r="H39" t="str">
        <f>"jmaldonado"</f>
        <v>jmaldonado</v>
      </c>
      <c r="I39" t="str">
        <f>"110"</f>
        <v>110</v>
      </c>
      <c r="J39" t="str">
        <f t="shared" si="6"/>
        <v>N</v>
      </c>
    </row>
    <row r="40" spans="1:10">
      <c r="A40" t="str">
        <f>"LE-036-00670"</f>
        <v>LE-036-00670</v>
      </c>
      <c r="B40" t="str">
        <f>"INACT"</f>
        <v>INACT</v>
      </c>
      <c r="C40" t="str">
        <f>"16"</f>
        <v>16</v>
      </c>
      <c r="D40" t="str">
        <f t="shared" si="7"/>
        <v>N/A</v>
      </c>
      <c r="E40" t="str">
        <f>"10700"</f>
        <v>10700</v>
      </c>
      <c r="F40" t="str">
        <f>"2708"</f>
        <v>2708</v>
      </c>
      <c r="G40" t="str">
        <f>"INSECT ELECTROCUTOR"</f>
        <v>INSECT ELECTROCUTOR</v>
      </c>
      <c r="H40" t="str">
        <f>"jmaldonado"</f>
        <v>jmaldonado</v>
      </c>
      <c r="I40" t="str">
        <f>"110"</f>
        <v>110</v>
      </c>
      <c r="J40" t="str">
        <f t="shared" si="6"/>
        <v>N</v>
      </c>
    </row>
    <row r="41" spans="1:10">
      <c r="A41" t="str">
        <f>"LE-010-28120"</f>
        <v>LE-010-28120</v>
      </c>
      <c r="B41" t="str">
        <f>"ACT"</f>
        <v>ACT</v>
      </c>
      <c r="C41" t="str">
        <f>"16"</f>
        <v>16</v>
      </c>
      <c r="D41" t="str">
        <f t="shared" si="7"/>
        <v>N/A</v>
      </c>
      <c r="E41" t="str">
        <f>"3F202063"</f>
        <v>3F202063</v>
      </c>
      <c r="F41" t="str">
        <f>"3412"</f>
        <v>3412</v>
      </c>
      <c r="G41" t="str">
        <f>"POWER GENERATOR"</f>
        <v>POWER GENERATOR</v>
      </c>
      <c r="H41" t="str">
        <f>"jmaldonado"</f>
        <v>jmaldonado</v>
      </c>
      <c r="I41" t="str">
        <f>"018"</f>
        <v>018</v>
      </c>
      <c r="J41" t="str">
        <f t="shared" si="6"/>
        <v>N</v>
      </c>
    </row>
    <row r="42" spans="1:10">
      <c r="A42" t="str">
        <f>"LE-010-28121"</f>
        <v>LE-010-28121</v>
      </c>
      <c r="B42" t="str">
        <f>"ACT"</f>
        <v>ACT</v>
      </c>
      <c r="C42" t="str">
        <f>"16"</f>
        <v>16</v>
      </c>
      <c r="D42" t="str">
        <f t="shared" si="7"/>
        <v>N/A</v>
      </c>
      <c r="E42" t="str">
        <f>"2026151"</f>
        <v>2026151</v>
      </c>
      <c r="F42" t="str">
        <f>"96A01091-S"</f>
        <v>96A01091-S</v>
      </c>
      <c r="G42" t="str">
        <f>"POWER GENERATOR"</f>
        <v>POWER GENERATOR</v>
      </c>
      <c r="H42" t="str">
        <f>"jmaldonado"</f>
        <v>jmaldonado</v>
      </c>
      <c r="I42" t="str">
        <f>"018"</f>
        <v>018</v>
      </c>
      <c r="J42" t="str">
        <f t="shared" si="6"/>
        <v>N</v>
      </c>
    </row>
    <row r="43" spans="1:10">
      <c r="A43" t="str">
        <f>"0442FR08"</f>
        <v>0442FR08</v>
      </c>
      <c r="B43" t="str">
        <f>"ACT"</f>
        <v>ACT</v>
      </c>
      <c r="C43" t="str">
        <f>"05"</f>
        <v>05</v>
      </c>
      <c r="D43" t="str">
        <f t="shared" si="7"/>
        <v>N/A</v>
      </c>
      <c r="E43" t="str">
        <f>"429774"</f>
        <v>429774</v>
      </c>
      <c r="F43" t="str">
        <f>"JCS"</f>
        <v>JCS</v>
      </c>
      <c r="G43" t="str">
        <f>"MULTICURE OVEN"</f>
        <v>MULTICURE OVEN</v>
      </c>
      <c r="H43" t="str">
        <f>"jcastaneda"</f>
        <v>jcastaneda</v>
      </c>
      <c r="I43" t="str">
        <f>"111"</f>
        <v>111</v>
      </c>
      <c r="J43" t="str">
        <f t="shared" si="6"/>
        <v>N</v>
      </c>
    </row>
    <row r="44" spans="1:10">
      <c r="A44" t="str">
        <f>"LE-061-01365"</f>
        <v>LE-061-01365</v>
      </c>
      <c r="B44" t="str">
        <f>"INACT"</f>
        <v>INACT</v>
      </c>
      <c r="C44" t="str">
        <f t="shared" ref="C44:C55" si="8">"16"</f>
        <v>16</v>
      </c>
      <c r="D44" t="str">
        <f t="shared" si="7"/>
        <v>N/A</v>
      </c>
      <c r="E44" t="str">
        <f>"90158336"</f>
        <v>90158336</v>
      </c>
      <c r="F44" t="str">
        <f>"33019000"</f>
        <v>33019000</v>
      </c>
      <c r="G44" t="str">
        <f>"PRESURE TANK"</f>
        <v>PRESURE TANK</v>
      </c>
      <c r="H44" t="str">
        <f t="shared" ref="H44:H55" si="9">"jmaldonado"</f>
        <v>jmaldonado</v>
      </c>
      <c r="I44" t="str">
        <f>"112"</f>
        <v>112</v>
      </c>
      <c r="J44" t="str">
        <f t="shared" si="6"/>
        <v>N</v>
      </c>
    </row>
    <row r="45" spans="1:10">
      <c r="A45" t="str">
        <f>"LE-061-01364"</f>
        <v>LE-061-01364</v>
      </c>
      <c r="B45" t="str">
        <f t="shared" ref="B45:B57" si="10">"ACT"</f>
        <v>ACT</v>
      </c>
      <c r="C45" t="str">
        <f t="shared" si="8"/>
        <v>16</v>
      </c>
      <c r="D45" t="str">
        <f>"TQP14378"</f>
        <v>TQP14378</v>
      </c>
      <c r="E45" t="str">
        <f>"1A01Z"</f>
        <v>1A01Z</v>
      </c>
      <c r="F45" t="str">
        <f>"FP 7130-08"</f>
        <v>FP 7130-08</v>
      </c>
      <c r="G45" t="str">
        <f>"PRESURE TANK"</f>
        <v>PRESURE TANK</v>
      </c>
      <c r="H45" t="str">
        <f t="shared" si="9"/>
        <v>jmaldonado</v>
      </c>
      <c r="I45" t="str">
        <f>"113"</f>
        <v>113</v>
      </c>
      <c r="J45" t="str">
        <f t="shared" si="6"/>
        <v>N</v>
      </c>
    </row>
    <row r="46" spans="1:10">
      <c r="A46" t="str">
        <f>"LE-010-28118"</f>
        <v>LE-010-28118</v>
      </c>
      <c r="B46" t="str">
        <f t="shared" si="10"/>
        <v>ACT</v>
      </c>
      <c r="C46" t="str">
        <f t="shared" si="8"/>
        <v>16</v>
      </c>
      <c r="D46" t="str">
        <f>"N/A"</f>
        <v>N/A</v>
      </c>
      <c r="E46" t="str">
        <f>"244512-1"</f>
        <v>244512-1</v>
      </c>
      <c r="F46" t="str">
        <f>"PPA075C"</f>
        <v>PPA075C</v>
      </c>
      <c r="G46" t="str">
        <f>"PDU (POWER DIST UNIT)"</f>
        <v>PDU (POWER DIST UNIT)</v>
      </c>
      <c r="H46" t="str">
        <f t="shared" si="9"/>
        <v>jmaldonado</v>
      </c>
      <c r="I46" t="str">
        <f>"045"</f>
        <v>045</v>
      </c>
      <c r="J46" t="str">
        <f t="shared" si="6"/>
        <v>N</v>
      </c>
    </row>
    <row r="47" spans="1:10">
      <c r="A47" t="str">
        <f>"LE-010-28119"</f>
        <v>LE-010-28119</v>
      </c>
      <c r="B47" t="str">
        <f t="shared" si="10"/>
        <v>ACT</v>
      </c>
      <c r="C47" t="str">
        <f t="shared" si="8"/>
        <v>16</v>
      </c>
      <c r="D47" t="str">
        <f>"N/A"</f>
        <v>N/A</v>
      </c>
      <c r="E47" t="str">
        <f>"392814-4"</f>
        <v>392814-4</v>
      </c>
      <c r="F47" t="str">
        <f>"PPA075C"</f>
        <v>PPA075C</v>
      </c>
      <c r="G47" t="str">
        <f>"PDU (POWER DIST UNIT)"</f>
        <v>PDU (POWER DIST UNIT)</v>
      </c>
      <c r="H47" t="str">
        <f t="shared" si="9"/>
        <v>jmaldonado</v>
      </c>
      <c r="I47" t="str">
        <f>"045"</f>
        <v>045</v>
      </c>
      <c r="J47" t="str">
        <f t="shared" si="6"/>
        <v>N</v>
      </c>
    </row>
    <row r="48" spans="1:10">
      <c r="A48" t="str">
        <f>"LE-010-28114"</f>
        <v>LE-010-28114</v>
      </c>
      <c r="B48" t="str">
        <f t="shared" si="10"/>
        <v>ACT</v>
      </c>
      <c r="C48" t="str">
        <f t="shared" si="8"/>
        <v>16</v>
      </c>
      <c r="D48" t="str">
        <f>"TQP01437"</f>
        <v>TQP01437</v>
      </c>
      <c r="E48" t="str">
        <f>"214417"</f>
        <v>214417</v>
      </c>
      <c r="F48" t="str">
        <f>"S277Y111R-01"</f>
        <v>S277Y111R-01</v>
      </c>
      <c r="G48" t="str">
        <f>"TVSS MONITOR"</f>
        <v>TVSS MONITOR</v>
      </c>
      <c r="H48" t="str">
        <f t="shared" si="9"/>
        <v>jmaldonado</v>
      </c>
      <c r="I48" t="str">
        <f>"045"</f>
        <v>045</v>
      </c>
      <c r="J48" t="str">
        <f t="shared" si="6"/>
        <v>N</v>
      </c>
    </row>
    <row r="49" spans="1:10">
      <c r="A49" t="str">
        <f>"LE-010-28111"</f>
        <v>LE-010-28111</v>
      </c>
      <c r="B49" t="str">
        <f t="shared" si="10"/>
        <v>ACT</v>
      </c>
      <c r="C49" t="str">
        <f t="shared" si="8"/>
        <v>16</v>
      </c>
      <c r="D49" t="str">
        <f>"N/A"</f>
        <v>N/A</v>
      </c>
      <c r="E49" t="str">
        <f>"FRI82T62062ZVC3"</f>
        <v>FRI82T62062ZVC3</v>
      </c>
      <c r="F49" t="str">
        <f>"3KW34A"</f>
        <v>3KW34A</v>
      </c>
      <c r="G49" t="str">
        <f>"PRODUCTION EXTRACTOR CHIMENEA#4"</f>
        <v>PRODUCTION EXTRACTOR CHIMENEA#4</v>
      </c>
      <c r="H49" t="str">
        <f t="shared" si="9"/>
        <v>jmaldonado</v>
      </c>
      <c r="I49" t="str">
        <f>"114"</f>
        <v>114</v>
      </c>
      <c r="J49" t="str">
        <f t="shared" si="6"/>
        <v>N</v>
      </c>
    </row>
    <row r="50" spans="1:10">
      <c r="A50" t="str">
        <f>"LE-010-28112"</f>
        <v>LE-010-28112</v>
      </c>
      <c r="B50" t="str">
        <f t="shared" si="10"/>
        <v>ACT</v>
      </c>
      <c r="C50" t="str">
        <f t="shared" si="8"/>
        <v>16</v>
      </c>
      <c r="D50" t="str">
        <f>"N/A"</f>
        <v>N/A</v>
      </c>
      <c r="E50" t="str">
        <f>"FRI82T62062ZJX3"</f>
        <v>FRI82T62062ZJX3</v>
      </c>
      <c r="F50" t="str">
        <f>"3KW34B"</f>
        <v>3KW34B</v>
      </c>
      <c r="G50" t="str">
        <f>"PRODUCTION EXTRACTOR CHIMENEA#3"</f>
        <v>PRODUCTION EXTRACTOR CHIMENEA#3</v>
      </c>
      <c r="H50" t="str">
        <f t="shared" si="9"/>
        <v>jmaldonado</v>
      </c>
      <c r="I50" t="str">
        <f>"114"</f>
        <v>114</v>
      </c>
      <c r="J50" t="str">
        <f t="shared" si="6"/>
        <v>N</v>
      </c>
    </row>
    <row r="51" spans="1:10">
      <c r="A51" t="str">
        <f>"0407FC00"</f>
        <v>0407FC00</v>
      </c>
      <c r="B51" t="str">
        <f t="shared" si="10"/>
        <v>ACT</v>
      </c>
      <c r="C51" t="str">
        <f t="shared" si="8"/>
        <v>16</v>
      </c>
      <c r="D51" t="str">
        <f>"N/A"</f>
        <v>N/A</v>
      </c>
      <c r="E51" t="str">
        <f>"0895-2"</f>
        <v>0895-2</v>
      </c>
      <c r="F51" t="str">
        <f>"249W9B"</f>
        <v>249W9B</v>
      </c>
      <c r="G51" t="str">
        <f>"FUME EXTRACTION"</f>
        <v>FUME EXTRACTION</v>
      </c>
      <c r="H51" t="str">
        <f t="shared" si="9"/>
        <v>jmaldonado</v>
      </c>
      <c r="I51" t="str">
        <f>"114"</f>
        <v>114</v>
      </c>
      <c r="J51" t="str">
        <f t="shared" si="6"/>
        <v>N</v>
      </c>
    </row>
    <row r="52" spans="1:10">
      <c r="A52" t="str">
        <f>"LE-010-27620"</f>
        <v>LE-010-27620</v>
      </c>
      <c r="B52" t="str">
        <f t="shared" si="10"/>
        <v>ACT</v>
      </c>
      <c r="C52" t="str">
        <f t="shared" si="8"/>
        <v>16</v>
      </c>
      <c r="D52" t="str">
        <f>"TQP14362"</f>
        <v>TQP14362</v>
      </c>
      <c r="E52" t="str">
        <f>"851"</f>
        <v>851</v>
      </c>
      <c r="F52" t="str">
        <f>"7PK56B17F5521FP"</f>
        <v>7PK56B17F5521FP</v>
      </c>
      <c r="G52" t="str">
        <f>"ULTRAVIOLET LIGHT            "</f>
        <v xml:space="preserve">ULTRAVIOLET LIGHT            </v>
      </c>
      <c r="H52" t="str">
        <f t="shared" si="9"/>
        <v>jmaldonado</v>
      </c>
      <c r="I52" t="str">
        <f>"100"</f>
        <v>100</v>
      </c>
      <c r="J52" t="str">
        <f t="shared" si="6"/>
        <v>N</v>
      </c>
    </row>
    <row r="53" spans="1:10">
      <c r="A53" t="str">
        <f>"LE-036-00671"</f>
        <v>LE-036-00671</v>
      </c>
      <c r="B53" t="str">
        <f t="shared" si="10"/>
        <v>ACT</v>
      </c>
      <c r="C53" t="str">
        <f t="shared" si="8"/>
        <v>16</v>
      </c>
      <c r="D53" t="str">
        <f>"N/A"</f>
        <v>N/A</v>
      </c>
      <c r="E53" t="str">
        <f>"AH 645889D"</f>
        <v>AH 645889D</v>
      </c>
      <c r="F53" t="str">
        <f>"700"</f>
        <v>700</v>
      </c>
      <c r="G53" t="str">
        <f>"FUEL PUMP"</f>
        <v>FUEL PUMP</v>
      </c>
      <c r="H53" t="str">
        <f t="shared" si="9"/>
        <v>jmaldonado</v>
      </c>
      <c r="I53" t="str">
        <f>"115"</f>
        <v>115</v>
      </c>
      <c r="J53" t="str">
        <f t="shared" si="6"/>
        <v>N</v>
      </c>
    </row>
    <row r="54" spans="1:10">
      <c r="A54" t="str">
        <f>"LE-010-28115"</f>
        <v>LE-010-28115</v>
      </c>
      <c r="B54" t="str">
        <f t="shared" si="10"/>
        <v>ACT</v>
      </c>
      <c r="C54" t="str">
        <f t="shared" si="8"/>
        <v>16</v>
      </c>
      <c r="D54" t="str">
        <f>"N/A"</f>
        <v>N/A</v>
      </c>
      <c r="E54" t="str">
        <f>"M14961"</f>
        <v>M14961</v>
      </c>
      <c r="F54" t="str">
        <f>"AP366"</f>
        <v>AP366</v>
      </c>
      <c r="G54" t="str">
        <f>" UPS # 1"</f>
        <v xml:space="preserve"> UPS # 1</v>
      </c>
      <c r="H54" t="str">
        <f t="shared" si="9"/>
        <v>jmaldonado</v>
      </c>
      <c r="I54" t="str">
        <f>"045"</f>
        <v>045</v>
      </c>
      <c r="J54" t="str">
        <f t="shared" si="6"/>
        <v>N</v>
      </c>
    </row>
    <row r="55" spans="1:10">
      <c r="A55" t="str">
        <f>"LE-010-28116"</f>
        <v>LE-010-28116</v>
      </c>
      <c r="B55" t="str">
        <f t="shared" si="10"/>
        <v>ACT</v>
      </c>
      <c r="C55" t="str">
        <f t="shared" si="8"/>
        <v>16</v>
      </c>
      <c r="D55" t="str">
        <f>"N/A"</f>
        <v>N/A</v>
      </c>
      <c r="E55" t="str">
        <f>"M14958"</f>
        <v>M14958</v>
      </c>
      <c r="F55" t="str">
        <f>"AP366"</f>
        <v>AP366</v>
      </c>
      <c r="G55" t="str">
        <f>"UPS # 2"</f>
        <v>UPS # 2</v>
      </c>
      <c r="H55" t="str">
        <f t="shared" si="9"/>
        <v>jmaldonado</v>
      </c>
      <c r="I55" t="str">
        <f>"045"</f>
        <v>045</v>
      </c>
      <c r="J55" t="str">
        <f t="shared" si="6"/>
        <v>N</v>
      </c>
    </row>
    <row r="56" spans="1:10">
      <c r="A56" t="str">
        <f>"LE-001-05025"</f>
        <v>LE-001-05025</v>
      </c>
      <c r="B56" t="str">
        <f t="shared" si="10"/>
        <v>ACT</v>
      </c>
      <c r="C56" t="str">
        <f>"37"</f>
        <v>37</v>
      </c>
      <c r="D56" t="str">
        <f>"TQP00099"</f>
        <v>TQP00099</v>
      </c>
      <c r="E56" t="str">
        <f>"N/A"</f>
        <v>N/A</v>
      </c>
      <c r="F56" t="str">
        <f>"N/A"</f>
        <v>N/A</v>
      </c>
      <c r="G56" t="str">
        <f>"TEST SET RACK BER # 05"</f>
        <v>TEST SET RACK BER # 05</v>
      </c>
      <c r="H56" t="str">
        <f>"jgallo"</f>
        <v>jgallo</v>
      </c>
      <c r="I56" t="str">
        <f>"081"</f>
        <v>081</v>
      </c>
      <c r="J56" t="str">
        <f t="shared" si="6"/>
        <v>N</v>
      </c>
    </row>
    <row r="57" spans="1:10">
      <c r="A57" t="str">
        <f>"LE-010-28896"</f>
        <v>LE-010-28896</v>
      </c>
      <c r="B57" t="str">
        <f t="shared" si="10"/>
        <v>ACT</v>
      </c>
      <c r="C57" t="str">
        <f>"18"</f>
        <v>18</v>
      </c>
      <c r="D57" t="str">
        <f t="shared" ref="D57:D91" si="11">"N/A"</f>
        <v>N/A</v>
      </c>
      <c r="E57" t="str">
        <f>"04 03 0359"</f>
        <v>04 03 0359</v>
      </c>
      <c r="F57" t="str">
        <f>"PPS 80A"</f>
        <v>PPS 80A</v>
      </c>
      <c r="G57" t="str">
        <f>"IRON WELDER"</f>
        <v>IRON WELDER</v>
      </c>
      <c r="H57" t="str">
        <f>"grobles"</f>
        <v>grobles</v>
      </c>
      <c r="I57" t="str">
        <f t="shared" ref="I57:I64" si="12">"075"</f>
        <v>075</v>
      </c>
      <c r="J57" t="str">
        <f t="shared" si="6"/>
        <v>N</v>
      </c>
    </row>
    <row r="58" spans="1:10">
      <c r="A58" t="str">
        <f>"0123MT01"</f>
        <v>0123MT01</v>
      </c>
      <c r="B58" t="str">
        <f>"INACT"</f>
        <v>INACT</v>
      </c>
      <c r="C58" t="str">
        <f>"18"</f>
        <v>18</v>
      </c>
      <c r="D58" t="str">
        <f t="shared" si="11"/>
        <v>N/A</v>
      </c>
      <c r="E58" t="str">
        <f>"200"</f>
        <v>200</v>
      </c>
      <c r="F58" t="str">
        <f>"EC2002M"</f>
        <v>EC2002M</v>
      </c>
      <c r="G58" t="str">
        <f>"IRON WELDER"</f>
        <v>IRON WELDER</v>
      </c>
      <c r="H58" t="str">
        <f>"grobles"</f>
        <v>grobles</v>
      </c>
      <c r="I58" t="str">
        <f t="shared" si="12"/>
        <v>075</v>
      </c>
      <c r="J58" t="str">
        <f t="shared" si="6"/>
        <v>N</v>
      </c>
    </row>
    <row r="59" spans="1:10">
      <c r="A59" t="str">
        <f>"0123MT04"</f>
        <v>0123MT04</v>
      </c>
      <c r="B59" t="str">
        <f>"INACT"</f>
        <v>INACT</v>
      </c>
      <c r="C59" t="str">
        <f>"19"</f>
        <v>19</v>
      </c>
      <c r="D59" t="str">
        <f t="shared" si="11"/>
        <v>N/A</v>
      </c>
      <c r="E59" t="str">
        <f>"1198"</f>
        <v>1198</v>
      </c>
      <c r="F59" t="str">
        <f>"EC2002M"</f>
        <v>EC2002M</v>
      </c>
      <c r="G59" t="str">
        <f>"IRON WELDER"</f>
        <v>IRON WELDER</v>
      </c>
      <c r="H59" t="str">
        <f>"avazquez"</f>
        <v>avazquez</v>
      </c>
      <c r="I59" t="str">
        <f t="shared" si="12"/>
        <v>075</v>
      </c>
      <c r="J59" t="str">
        <f t="shared" si="6"/>
        <v>N</v>
      </c>
    </row>
    <row r="60" spans="1:10">
      <c r="A60" t="str">
        <f>"0441MD00"</f>
        <v>0441MD00</v>
      </c>
      <c r="B60" t="str">
        <f>"ACT"</f>
        <v>ACT</v>
      </c>
      <c r="C60" t="str">
        <f>"18"</f>
        <v>18</v>
      </c>
      <c r="D60" t="str">
        <f t="shared" si="11"/>
        <v>N/A</v>
      </c>
      <c r="E60" t="str">
        <f>"53146298"</f>
        <v>53146298</v>
      </c>
      <c r="F60" t="str">
        <f>"WAD 100"</f>
        <v>WAD 100</v>
      </c>
      <c r="G60" t="str">
        <f>"SOLDER STATION HOT AIR"</f>
        <v>SOLDER STATION HOT AIR</v>
      </c>
      <c r="H60" t="str">
        <f>"grobles"</f>
        <v>grobles</v>
      </c>
      <c r="I60" t="str">
        <f t="shared" si="12"/>
        <v>075</v>
      </c>
      <c r="J60" t="str">
        <f t="shared" si="6"/>
        <v>N</v>
      </c>
    </row>
    <row r="61" spans="1:10">
      <c r="A61" t="str">
        <f>"LE-011-02485"</f>
        <v>LE-011-02485</v>
      </c>
      <c r="B61" t="str">
        <f>"INACT"</f>
        <v>INACT</v>
      </c>
      <c r="C61" t="str">
        <f>"25"</f>
        <v>25</v>
      </c>
      <c r="D61" t="str">
        <f t="shared" si="11"/>
        <v>N/A</v>
      </c>
      <c r="E61" t="str">
        <f>"TRC1003"</f>
        <v>TRC1003</v>
      </c>
      <c r="F61" t="str">
        <f>"EC2002M"</f>
        <v>EC2002M</v>
      </c>
      <c r="G61" t="str">
        <f>"IRON WELDER"</f>
        <v>IRON WELDER</v>
      </c>
      <c r="H61" t="str">
        <f>"jnieto"</f>
        <v>jnieto</v>
      </c>
      <c r="I61" t="str">
        <f t="shared" si="12"/>
        <v>075</v>
      </c>
      <c r="J61" t="str">
        <f t="shared" si="6"/>
        <v>N</v>
      </c>
    </row>
    <row r="62" spans="1:10">
      <c r="A62" t="str">
        <f>"0123MT03"</f>
        <v>0123MT03</v>
      </c>
      <c r="B62" t="str">
        <f>"INACT"</f>
        <v>INACT</v>
      </c>
      <c r="C62" t="str">
        <f>"04"</f>
        <v>04</v>
      </c>
      <c r="D62" t="str">
        <f t="shared" si="11"/>
        <v>N/A</v>
      </c>
      <c r="E62" t="str">
        <f>"N/A"</f>
        <v>N/A</v>
      </c>
      <c r="F62" t="str">
        <f>"EC2002M"</f>
        <v>EC2002M</v>
      </c>
      <c r="G62" t="str">
        <f>"IRON WELDER"</f>
        <v>IRON WELDER</v>
      </c>
      <c r="H62" t="str">
        <f>"gramirez"</f>
        <v>gramirez</v>
      </c>
      <c r="I62" t="str">
        <f t="shared" si="12"/>
        <v>075</v>
      </c>
      <c r="J62" t="str">
        <f t="shared" si="6"/>
        <v>N</v>
      </c>
    </row>
    <row r="63" spans="1:10">
      <c r="A63" t="str">
        <f>"LE-011-02482"</f>
        <v>LE-011-02482</v>
      </c>
      <c r="B63" t="str">
        <f>"INACT"</f>
        <v>INACT</v>
      </c>
      <c r="C63" t="str">
        <f>"03"</f>
        <v>03</v>
      </c>
      <c r="D63" t="str">
        <f t="shared" si="11"/>
        <v>N/A</v>
      </c>
      <c r="E63" t="str">
        <f>"0300"</f>
        <v>0300</v>
      </c>
      <c r="F63" t="str">
        <f>"EC2002M"</f>
        <v>EC2002M</v>
      </c>
      <c r="G63" t="str">
        <f>"IRON WELDER"</f>
        <v>IRON WELDER</v>
      </c>
      <c r="H63" t="str">
        <f>"jnieto"</f>
        <v>jnieto</v>
      </c>
      <c r="I63" t="str">
        <f t="shared" si="12"/>
        <v>075</v>
      </c>
      <c r="J63" t="str">
        <f t="shared" si="6"/>
        <v>N</v>
      </c>
    </row>
    <row r="64" spans="1:10">
      <c r="A64" t="str">
        <f>"LE-011-02425"</f>
        <v>LE-011-02425</v>
      </c>
      <c r="B64" t="str">
        <f>"INACT"</f>
        <v>INACT</v>
      </c>
      <c r="C64" t="str">
        <f>"25"</f>
        <v>25</v>
      </c>
      <c r="D64" t="str">
        <f t="shared" si="11"/>
        <v>N/A</v>
      </c>
      <c r="E64" t="str">
        <f>"0199"</f>
        <v>0199</v>
      </c>
      <c r="F64" t="str">
        <f>"EC2002M"</f>
        <v>EC2002M</v>
      </c>
      <c r="G64" t="str">
        <f>"IRON WELDER"</f>
        <v>IRON WELDER</v>
      </c>
      <c r="H64" t="str">
        <f>"ageronimo"</f>
        <v>ageronimo</v>
      </c>
      <c r="I64" t="str">
        <f t="shared" si="12"/>
        <v>075</v>
      </c>
      <c r="J64" t="str">
        <f t="shared" si="6"/>
        <v>N</v>
      </c>
    </row>
    <row r="65" spans="1:10">
      <c r="A65" t="str">
        <f>"LE-086-00187"</f>
        <v>LE-086-00187</v>
      </c>
      <c r="B65" t="str">
        <f>"ACT"</f>
        <v>ACT</v>
      </c>
      <c r="C65" t="str">
        <f t="shared" ref="C65:C84" si="13">"16"</f>
        <v>16</v>
      </c>
      <c r="D65" t="str">
        <f t="shared" si="11"/>
        <v>N/A</v>
      </c>
      <c r="E65" t="str">
        <f>"310-AO-062933"</f>
        <v>310-AO-062933</v>
      </c>
      <c r="F65" t="str">
        <f>"MH5011R"</f>
        <v>MH5011R</v>
      </c>
      <c r="G65" t="str">
        <f>"GATE C- EMBARQUE"</f>
        <v>GATE C- EMBARQUE</v>
      </c>
      <c r="H65" t="str">
        <f t="shared" ref="H65:H84" si="14">"jmaldonado"</f>
        <v>jmaldonado</v>
      </c>
      <c r="I65" t="str">
        <f>"116"</f>
        <v>116</v>
      </c>
      <c r="J65" t="str">
        <f t="shared" si="6"/>
        <v>N</v>
      </c>
    </row>
    <row r="66" spans="1:10">
      <c r="A66" t="str">
        <f>"LE-086-00188"</f>
        <v>LE-086-00188</v>
      </c>
      <c r="B66" t="str">
        <f>"ACT"</f>
        <v>ACT</v>
      </c>
      <c r="C66" t="str">
        <f t="shared" si="13"/>
        <v>16</v>
      </c>
      <c r="D66" t="str">
        <f t="shared" si="11"/>
        <v>N/A</v>
      </c>
      <c r="E66" t="str">
        <f>"310-AO-062941"</f>
        <v>310-AO-062941</v>
      </c>
      <c r="F66" t="str">
        <f>"MH5011R"</f>
        <v>MH5011R</v>
      </c>
      <c r="G66" t="str">
        <f>"GATE D - EMBARQUE"</f>
        <v>GATE D - EMBARQUE</v>
      </c>
      <c r="H66" t="str">
        <f t="shared" si="14"/>
        <v>jmaldonado</v>
      </c>
      <c r="I66" t="str">
        <f>"116"</f>
        <v>116</v>
      </c>
      <c r="J66" t="str">
        <f t="shared" ref="J66:J91" si="15">"N"</f>
        <v>N</v>
      </c>
    </row>
    <row r="67" spans="1:10">
      <c r="A67" t="str">
        <f>"LE-086-00189"</f>
        <v>LE-086-00189</v>
      </c>
      <c r="B67" t="str">
        <f>"INACT"</f>
        <v>INACT</v>
      </c>
      <c r="C67" t="str">
        <f t="shared" si="13"/>
        <v>16</v>
      </c>
      <c r="D67" t="str">
        <f t="shared" si="11"/>
        <v>N/A</v>
      </c>
      <c r="E67" t="str">
        <f>"0101515506E"</f>
        <v>0101515506E</v>
      </c>
      <c r="F67" t="str">
        <f>"CRS-211"</f>
        <v>CRS-211</v>
      </c>
      <c r="G67" t="str">
        <f>"GATE # 1 -CASETA EXTERNA"</f>
        <v>GATE # 1 -CASETA EXTERNA</v>
      </c>
      <c r="H67" t="str">
        <f t="shared" si="14"/>
        <v>jmaldonado</v>
      </c>
      <c r="I67" t="str">
        <f>"117"</f>
        <v>117</v>
      </c>
      <c r="J67" t="str">
        <f t="shared" si="15"/>
        <v>N</v>
      </c>
    </row>
    <row r="68" spans="1:10">
      <c r="A68" t="str">
        <f>"LE-086-00190"</f>
        <v>LE-086-00190</v>
      </c>
      <c r="B68" t="str">
        <f>"INACT"</f>
        <v>INACT</v>
      </c>
      <c r="C68" t="str">
        <f t="shared" si="13"/>
        <v>16</v>
      </c>
      <c r="D68" t="str">
        <f t="shared" si="11"/>
        <v>N/A</v>
      </c>
      <c r="E68" t="str">
        <f>"0101515505E"</f>
        <v>0101515505E</v>
      </c>
      <c r="F68" t="str">
        <f>"CRS-211"</f>
        <v>CRS-211</v>
      </c>
      <c r="G68" t="str">
        <f>"GATE # 2 - CASETA EXTERNA"</f>
        <v>GATE # 2 - CASETA EXTERNA</v>
      </c>
      <c r="H68" t="str">
        <f t="shared" si="14"/>
        <v>jmaldonado</v>
      </c>
      <c r="I68" t="str">
        <f>"117"</f>
        <v>117</v>
      </c>
      <c r="J68" t="str">
        <f t="shared" si="15"/>
        <v>N</v>
      </c>
    </row>
    <row r="69" spans="1:10">
      <c r="A69" t="str">
        <f>"LE-086-00191"</f>
        <v>LE-086-00191</v>
      </c>
      <c r="B69" t="str">
        <f>"ACT"</f>
        <v>ACT</v>
      </c>
      <c r="C69" t="str">
        <f t="shared" si="13"/>
        <v>16</v>
      </c>
      <c r="D69" t="str">
        <f t="shared" si="11"/>
        <v>N/A</v>
      </c>
      <c r="E69" t="str">
        <f>"0101515230E"</f>
        <v>0101515230E</v>
      </c>
      <c r="F69" t="str">
        <f>"RSL-211"</f>
        <v>RSL-211</v>
      </c>
      <c r="G69" t="str">
        <f>"GATE # 5 - CASETA EXTERNA"</f>
        <v>GATE # 5 - CASETA EXTERNA</v>
      </c>
      <c r="H69" t="str">
        <f t="shared" si="14"/>
        <v>jmaldonado</v>
      </c>
      <c r="I69" t="str">
        <f>"117"</f>
        <v>117</v>
      </c>
      <c r="J69" t="str">
        <f t="shared" si="15"/>
        <v>N</v>
      </c>
    </row>
    <row r="70" spans="1:10">
      <c r="A70" t="str">
        <f>"LE-086-00192"</f>
        <v>LE-086-00192</v>
      </c>
      <c r="B70" t="str">
        <f>"ACT"</f>
        <v>ACT</v>
      </c>
      <c r="C70" t="str">
        <f t="shared" si="13"/>
        <v>16</v>
      </c>
      <c r="D70" t="str">
        <f t="shared" si="11"/>
        <v>N/A</v>
      </c>
      <c r="E70" t="str">
        <f>"0101515235E"</f>
        <v>0101515235E</v>
      </c>
      <c r="F70" t="str">
        <f>"RSL-211"</f>
        <v>RSL-211</v>
      </c>
      <c r="G70" t="str">
        <f>"GATE # 6 - CASETA EXTERNA"</f>
        <v>GATE # 6 - CASETA EXTERNA</v>
      </c>
      <c r="H70" t="str">
        <f t="shared" si="14"/>
        <v>jmaldonado</v>
      </c>
      <c r="I70" t="str">
        <f>"117"</f>
        <v>117</v>
      </c>
      <c r="J70" t="str">
        <f t="shared" si="15"/>
        <v>N</v>
      </c>
    </row>
    <row r="71" spans="1:10">
      <c r="A71" t="str">
        <f>"LE-086-00193"</f>
        <v>LE-086-00193</v>
      </c>
      <c r="B71" t="str">
        <f>"ACT"</f>
        <v>ACT</v>
      </c>
      <c r="C71" t="str">
        <f t="shared" si="13"/>
        <v>16</v>
      </c>
      <c r="D71" t="str">
        <f t="shared" si="11"/>
        <v>N/A</v>
      </c>
      <c r="E71" t="str">
        <f>"310-AO-062936"</f>
        <v>310-AO-062936</v>
      </c>
      <c r="F71" t="str">
        <f>"MH5011R"</f>
        <v>MH5011R</v>
      </c>
      <c r="G71" t="str">
        <f>"GATE A - EMBARQUE"</f>
        <v>GATE A - EMBARQUE</v>
      </c>
      <c r="H71" t="str">
        <f t="shared" si="14"/>
        <v>jmaldonado</v>
      </c>
      <c r="I71" t="str">
        <f>"116"</f>
        <v>116</v>
      </c>
      <c r="J71" t="str">
        <f t="shared" si="15"/>
        <v>N</v>
      </c>
    </row>
    <row r="72" spans="1:10">
      <c r="A72" t="str">
        <f>"LE-086-00194"</f>
        <v>LE-086-00194</v>
      </c>
      <c r="B72" t="str">
        <f>"ACT"</f>
        <v>ACT</v>
      </c>
      <c r="C72" t="str">
        <f t="shared" si="13"/>
        <v>16</v>
      </c>
      <c r="D72" t="str">
        <f t="shared" si="11"/>
        <v>N/A</v>
      </c>
      <c r="E72" t="str">
        <f>"310-AO-062938"</f>
        <v>310-AO-062938</v>
      </c>
      <c r="F72" t="str">
        <f>"MH5011R"</f>
        <v>MH5011R</v>
      </c>
      <c r="G72" t="str">
        <f>"GATE B - EMBARQUE"</f>
        <v>GATE B - EMBARQUE</v>
      </c>
      <c r="H72" t="str">
        <f t="shared" si="14"/>
        <v>jmaldonado</v>
      </c>
      <c r="I72" t="str">
        <f>"116"</f>
        <v>116</v>
      </c>
      <c r="J72" t="str">
        <f t="shared" si="15"/>
        <v>N</v>
      </c>
    </row>
    <row r="73" spans="1:10">
      <c r="A73" t="str">
        <f>"LE-097-01099"</f>
        <v>LE-097-01099</v>
      </c>
      <c r="B73" t="str">
        <f>"INACT"</f>
        <v>INACT</v>
      </c>
      <c r="C73" t="str">
        <f t="shared" si="13"/>
        <v>16</v>
      </c>
      <c r="D73" t="str">
        <f t="shared" si="11"/>
        <v>N/A</v>
      </c>
      <c r="E73" t="str">
        <f>"398964-001"</f>
        <v>398964-001</v>
      </c>
      <c r="F73" t="str">
        <f>"FH125A-ASEI"</f>
        <v>FH125A-ASEI</v>
      </c>
      <c r="G73" t="str">
        <f>"AIR HANDLER D-C3"</f>
        <v>AIR HANDLER D-C3</v>
      </c>
      <c r="H73" t="str">
        <f t="shared" si="14"/>
        <v>jmaldonado</v>
      </c>
      <c r="I73" t="str">
        <f t="shared" ref="I73:I84" si="16">"045"</f>
        <v>045</v>
      </c>
      <c r="J73" t="str">
        <f t="shared" si="15"/>
        <v>N</v>
      </c>
    </row>
    <row r="74" spans="1:10">
      <c r="A74" t="str">
        <f>"LE-026-00185"</f>
        <v>LE-026-00185</v>
      </c>
      <c r="B74" t="str">
        <f t="shared" ref="B74:B86" si="17">"ACT"</f>
        <v>ACT</v>
      </c>
      <c r="C74" t="str">
        <f t="shared" si="13"/>
        <v>16</v>
      </c>
      <c r="D74" t="str">
        <f t="shared" si="11"/>
        <v>N/A</v>
      </c>
      <c r="E74" t="str">
        <f>"0043C39238"</f>
        <v>0043C39238</v>
      </c>
      <c r="F74" t="str">
        <f>"CDF480CA"</f>
        <v>CDF480CA</v>
      </c>
      <c r="G74" t="str">
        <f>"CONDENSER ""A"""</f>
        <v>CONDENSER "A"</v>
      </c>
      <c r="H74" t="str">
        <f t="shared" si="14"/>
        <v>jmaldonado</v>
      </c>
      <c r="I74" t="str">
        <f t="shared" si="16"/>
        <v>045</v>
      </c>
      <c r="J74" t="str">
        <f t="shared" si="15"/>
        <v>N</v>
      </c>
    </row>
    <row r="75" spans="1:10">
      <c r="A75" t="str">
        <f>"LE-026-00187"</f>
        <v>LE-026-00187</v>
      </c>
      <c r="B75" t="str">
        <f t="shared" si="17"/>
        <v>ACT</v>
      </c>
      <c r="C75" t="str">
        <f t="shared" si="13"/>
        <v>16</v>
      </c>
      <c r="D75" t="str">
        <f t="shared" si="11"/>
        <v>N/A</v>
      </c>
      <c r="E75" t="str">
        <f>"0043C39239"</f>
        <v>0043C39239</v>
      </c>
      <c r="F75" t="str">
        <f>"CDF480CA"</f>
        <v>CDF480CA</v>
      </c>
      <c r="G75" t="str">
        <f>"CONDENSER ""B"""</f>
        <v>CONDENSER "B"</v>
      </c>
      <c r="H75" t="str">
        <f t="shared" si="14"/>
        <v>jmaldonado</v>
      </c>
      <c r="I75" t="str">
        <f t="shared" si="16"/>
        <v>045</v>
      </c>
      <c r="J75" t="str">
        <f t="shared" si="15"/>
        <v>N</v>
      </c>
    </row>
    <row r="76" spans="1:10">
      <c r="A76" t="str">
        <f>"LE-026-00189"</f>
        <v>LE-026-00189</v>
      </c>
      <c r="B76" t="str">
        <f t="shared" si="17"/>
        <v>ACT</v>
      </c>
      <c r="C76" t="str">
        <f t="shared" si="13"/>
        <v>16</v>
      </c>
      <c r="D76" t="str">
        <f t="shared" si="11"/>
        <v>N/A</v>
      </c>
      <c r="E76" t="str">
        <f>"0043C39475"</f>
        <v>0043C39475</v>
      </c>
      <c r="F76" t="str">
        <f>"CDF480CA"</f>
        <v>CDF480CA</v>
      </c>
      <c r="G76" t="str">
        <f>"CONDENSER ""C"""</f>
        <v>CONDENSER "C"</v>
      </c>
      <c r="H76" t="str">
        <f t="shared" si="14"/>
        <v>jmaldonado</v>
      </c>
      <c r="I76" t="str">
        <f t="shared" si="16"/>
        <v>045</v>
      </c>
      <c r="J76" t="str">
        <f t="shared" si="15"/>
        <v>N</v>
      </c>
    </row>
    <row r="77" spans="1:10">
      <c r="A77" t="str">
        <f>"LE-026-00190"</f>
        <v>LE-026-00190</v>
      </c>
      <c r="B77" t="str">
        <f t="shared" si="17"/>
        <v>ACT</v>
      </c>
      <c r="C77" t="str">
        <f t="shared" si="13"/>
        <v>16</v>
      </c>
      <c r="D77" t="str">
        <f t="shared" si="11"/>
        <v>N/A</v>
      </c>
      <c r="E77" t="str">
        <f>"0043C39478"</f>
        <v>0043C39478</v>
      </c>
      <c r="F77" t="str">
        <f>"CDF480CA"</f>
        <v>CDF480CA</v>
      </c>
      <c r="G77" t="str">
        <f>"CONDENSER ""D"""</f>
        <v>CONDENSER "D"</v>
      </c>
      <c r="H77" t="str">
        <f t="shared" si="14"/>
        <v>jmaldonado</v>
      </c>
      <c r="I77" t="str">
        <f t="shared" si="16"/>
        <v>045</v>
      </c>
      <c r="J77" t="str">
        <f t="shared" si="15"/>
        <v>N</v>
      </c>
    </row>
    <row r="78" spans="1:10">
      <c r="A78" t="str">
        <f>"LE-026-00191"</f>
        <v>LE-026-00191</v>
      </c>
      <c r="B78" t="str">
        <f t="shared" si="17"/>
        <v>ACT</v>
      </c>
      <c r="C78" t="str">
        <f t="shared" si="13"/>
        <v>16</v>
      </c>
      <c r="D78" t="str">
        <f t="shared" si="11"/>
        <v>N/A</v>
      </c>
      <c r="E78" t="str">
        <f>"0043C39476"</f>
        <v>0043C39476</v>
      </c>
      <c r="F78" t="str">
        <f>"CDF480CA"</f>
        <v>CDF480CA</v>
      </c>
      <c r="G78" t="str">
        <f>"CONDENSER ""E"""</f>
        <v>CONDENSER "E"</v>
      </c>
      <c r="H78" t="str">
        <f t="shared" si="14"/>
        <v>jmaldonado</v>
      </c>
      <c r="I78" t="str">
        <f t="shared" si="16"/>
        <v>045</v>
      </c>
      <c r="J78" t="str">
        <f t="shared" si="15"/>
        <v>N</v>
      </c>
    </row>
    <row r="79" spans="1:10">
      <c r="A79" t="str">
        <f>"0344FC00"</f>
        <v>0344FC00</v>
      </c>
      <c r="B79" t="str">
        <f t="shared" si="17"/>
        <v>ACT</v>
      </c>
      <c r="C79" t="str">
        <f t="shared" si="13"/>
        <v>16</v>
      </c>
      <c r="D79" t="str">
        <f t="shared" si="11"/>
        <v>N/A</v>
      </c>
      <c r="E79" t="str">
        <f>"0339C66150"</f>
        <v>0339C66150</v>
      </c>
      <c r="F79" t="str">
        <f>"CDF308-LA"</f>
        <v>CDF308-LA</v>
      </c>
      <c r="G79" t="str">
        <f>"CONDENSER ""F"""</f>
        <v>CONDENSER "F"</v>
      </c>
      <c r="H79" t="str">
        <f t="shared" si="14"/>
        <v>jmaldonado</v>
      </c>
      <c r="I79" t="str">
        <f t="shared" si="16"/>
        <v>045</v>
      </c>
      <c r="J79" t="str">
        <f t="shared" si="15"/>
        <v>N</v>
      </c>
    </row>
    <row r="80" spans="1:10">
      <c r="A80" t="str">
        <f>"LE-010-24183"</f>
        <v>LE-010-24183</v>
      </c>
      <c r="B80" t="str">
        <f t="shared" si="17"/>
        <v>ACT</v>
      </c>
      <c r="C80" t="str">
        <f t="shared" si="13"/>
        <v>16</v>
      </c>
      <c r="D80" t="str">
        <f t="shared" si="11"/>
        <v>N/A</v>
      </c>
      <c r="E80" t="str">
        <f>"96030481"</f>
        <v>96030481</v>
      </c>
      <c r="F80" t="str">
        <f>"CDF308-LA"</f>
        <v>CDF308-LA</v>
      </c>
      <c r="G80" t="str">
        <f>"CONDENSER ""G"""</f>
        <v>CONDENSER "G"</v>
      </c>
      <c r="H80" t="str">
        <f t="shared" si="14"/>
        <v>jmaldonado</v>
      </c>
      <c r="I80" t="str">
        <f t="shared" si="16"/>
        <v>045</v>
      </c>
      <c r="J80" t="str">
        <f t="shared" si="15"/>
        <v>N</v>
      </c>
    </row>
    <row r="81" spans="1:10">
      <c r="A81" t="str">
        <f>"LE-010-24184"</f>
        <v>LE-010-24184</v>
      </c>
      <c r="B81" t="str">
        <f t="shared" si="17"/>
        <v>ACT</v>
      </c>
      <c r="C81" t="str">
        <f t="shared" si="13"/>
        <v>16</v>
      </c>
      <c r="D81" t="str">
        <f t="shared" si="11"/>
        <v>N/A</v>
      </c>
      <c r="E81" t="str">
        <f>"96030483"</f>
        <v>96030483</v>
      </c>
      <c r="F81" t="str">
        <f>"CDF308-LA"</f>
        <v>CDF308-LA</v>
      </c>
      <c r="G81" t="str">
        <f>"CONDENSER  ""H"""</f>
        <v>CONDENSER  "H"</v>
      </c>
      <c r="H81" t="str">
        <f t="shared" si="14"/>
        <v>jmaldonado</v>
      </c>
      <c r="I81" t="str">
        <f t="shared" si="16"/>
        <v>045</v>
      </c>
      <c r="J81" t="str">
        <f t="shared" si="15"/>
        <v>N</v>
      </c>
    </row>
    <row r="82" spans="1:10">
      <c r="A82" t="str">
        <f>"LE-097-01088"</f>
        <v>LE-097-01088</v>
      </c>
      <c r="B82" t="str">
        <f t="shared" si="17"/>
        <v>ACT</v>
      </c>
      <c r="C82" t="str">
        <f t="shared" si="13"/>
        <v>16</v>
      </c>
      <c r="D82" t="str">
        <f t="shared" si="11"/>
        <v>N/A</v>
      </c>
      <c r="E82" t="str">
        <f>"5041432"</f>
        <v>5041432</v>
      </c>
      <c r="F82" t="str">
        <f>"CDF165LA"</f>
        <v>CDF165LA</v>
      </c>
      <c r="G82" t="str">
        <f>"CONDENSER D-C1"</f>
        <v>CONDENSER D-C1</v>
      </c>
      <c r="H82" t="str">
        <f t="shared" si="14"/>
        <v>jmaldonado</v>
      </c>
      <c r="I82" t="str">
        <f t="shared" si="16"/>
        <v>045</v>
      </c>
      <c r="J82" t="str">
        <f t="shared" si="15"/>
        <v>N</v>
      </c>
    </row>
    <row r="83" spans="1:10">
      <c r="A83" t="str">
        <f>"LE-097-01089"</f>
        <v>LE-097-01089</v>
      </c>
      <c r="B83" t="str">
        <f t="shared" si="17"/>
        <v>ACT</v>
      </c>
      <c r="C83" t="str">
        <f t="shared" si="13"/>
        <v>16</v>
      </c>
      <c r="D83" t="str">
        <f t="shared" si="11"/>
        <v>N/A</v>
      </c>
      <c r="E83" t="str">
        <f>"0107C44741"</f>
        <v>0107C44741</v>
      </c>
      <c r="F83" t="str">
        <f>"CDF165LA"</f>
        <v>CDF165LA</v>
      </c>
      <c r="G83" t="str">
        <f>"CONDENSER D-C2"</f>
        <v>CONDENSER D-C2</v>
      </c>
      <c r="H83" t="str">
        <f t="shared" si="14"/>
        <v>jmaldonado</v>
      </c>
      <c r="I83" t="str">
        <f t="shared" si="16"/>
        <v>045</v>
      </c>
      <c r="J83" t="str">
        <f t="shared" si="15"/>
        <v>N</v>
      </c>
    </row>
    <row r="84" spans="1:10">
      <c r="A84" t="str">
        <f>"LE-097-01090"</f>
        <v>LE-097-01090</v>
      </c>
      <c r="B84" t="str">
        <f t="shared" si="17"/>
        <v>ACT</v>
      </c>
      <c r="C84" t="str">
        <f t="shared" si="13"/>
        <v>16</v>
      </c>
      <c r="D84" t="str">
        <f t="shared" si="11"/>
        <v>N/A</v>
      </c>
      <c r="E84" t="str">
        <f>"0107C44742"</f>
        <v>0107C44742</v>
      </c>
      <c r="F84" t="str">
        <f>"CDF165LA"</f>
        <v>CDF165LA</v>
      </c>
      <c r="G84" t="str">
        <f>"CONDENSER D-C3"</f>
        <v>CONDENSER D-C3</v>
      </c>
      <c r="H84" t="str">
        <f t="shared" si="14"/>
        <v>jmaldonado</v>
      </c>
      <c r="I84" t="str">
        <f t="shared" si="16"/>
        <v>045</v>
      </c>
      <c r="J84" t="str">
        <f t="shared" si="15"/>
        <v>N</v>
      </c>
    </row>
    <row r="85" spans="1:10">
      <c r="A85" t="str">
        <f>"0319UR121"</f>
        <v>0319UR121</v>
      </c>
      <c r="B85" t="str">
        <f t="shared" si="17"/>
        <v>ACT</v>
      </c>
      <c r="C85" t="str">
        <f>"08"</f>
        <v>08</v>
      </c>
      <c r="D85" t="str">
        <f t="shared" si="11"/>
        <v>N/A</v>
      </c>
      <c r="E85" t="str">
        <f>"4086"</f>
        <v>4086</v>
      </c>
      <c r="F85" t="str">
        <f>"963"</f>
        <v>963</v>
      </c>
      <c r="G85" t="str">
        <f>"BENCHTOP AIR IONIZER"</f>
        <v>BENCHTOP AIR IONIZER</v>
      </c>
      <c r="H85" t="str">
        <f>"avazquez"</f>
        <v>avazquez</v>
      </c>
      <c r="I85" t="str">
        <f>"118"</f>
        <v>118</v>
      </c>
      <c r="J85" t="str">
        <f t="shared" si="15"/>
        <v>N</v>
      </c>
    </row>
    <row r="86" spans="1:10">
      <c r="A86" t="str">
        <f>"LE-010-23962"</f>
        <v>LE-010-23962</v>
      </c>
      <c r="B86" t="str">
        <f t="shared" si="17"/>
        <v>ACT</v>
      </c>
      <c r="C86" t="str">
        <f>"06"</f>
        <v>06</v>
      </c>
      <c r="D86" t="str">
        <f t="shared" si="11"/>
        <v>N/A</v>
      </c>
      <c r="E86" t="str">
        <f>"Y396295"</f>
        <v>Y396295</v>
      </c>
      <c r="F86" t="str">
        <f t="shared" ref="F86:F91" si="18">"AEROSTAT"</f>
        <v>AEROSTAT</v>
      </c>
      <c r="G86" t="str">
        <f t="shared" ref="G86:G91" si="19">"ESD IONIZER"</f>
        <v>ESD IONIZER</v>
      </c>
      <c r="H86" t="str">
        <f>"ecerda"</f>
        <v>ecerda</v>
      </c>
      <c r="I86" t="str">
        <f t="shared" ref="I86:I91" si="20">"119"</f>
        <v>119</v>
      </c>
      <c r="J86" t="str">
        <f t="shared" si="15"/>
        <v>N</v>
      </c>
    </row>
    <row r="87" spans="1:10">
      <c r="A87" t="str">
        <f>"LE-010-23948"</f>
        <v>LE-010-23948</v>
      </c>
      <c r="B87" t="str">
        <f>"INACT"</f>
        <v>INACT</v>
      </c>
      <c r="C87" t="str">
        <f>"19"</f>
        <v>19</v>
      </c>
      <c r="D87" t="str">
        <f t="shared" si="11"/>
        <v>N/A</v>
      </c>
      <c r="E87" t="str">
        <f>"V237521"</f>
        <v>V237521</v>
      </c>
      <c r="F87" t="str">
        <f t="shared" si="18"/>
        <v>AEROSTAT</v>
      </c>
      <c r="G87" t="str">
        <f t="shared" si="19"/>
        <v>ESD IONIZER</v>
      </c>
      <c r="H87" t="str">
        <f>"zfernandez"</f>
        <v>zfernandez</v>
      </c>
      <c r="I87" t="str">
        <f t="shared" si="20"/>
        <v>119</v>
      </c>
      <c r="J87" t="str">
        <f t="shared" si="15"/>
        <v>N</v>
      </c>
    </row>
    <row r="88" spans="1:10">
      <c r="A88" t="str">
        <f>"LE-010-28611"</f>
        <v>LE-010-28611</v>
      </c>
      <c r="B88" t="str">
        <f>"INACT"</f>
        <v>INACT</v>
      </c>
      <c r="C88" t="str">
        <f>"19"</f>
        <v>19</v>
      </c>
      <c r="D88" t="str">
        <f t="shared" si="11"/>
        <v>N/A</v>
      </c>
      <c r="E88" t="str">
        <f>"203114"</f>
        <v>203114</v>
      </c>
      <c r="F88" t="str">
        <f t="shared" si="18"/>
        <v>AEROSTAT</v>
      </c>
      <c r="G88" t="str">
        <f t="shared" si="19"/>
        <v>ESD IONIZER</v>
      </c>
      <c r="H88" t="str">
        <f>"zfernandez"</f>
        <v>zfernandez</v>
      </c>
      <c r="I88" t="str">
        <f t="shared" si="20"/>
        <v>119</v>
      </c>
      <c r="J88" t="str">
        <f t="shared" si="15"/>
        <v>N</v>
      </c>
    </row>
    <row r="89" spans="1:10">
      <c r="A89" t="str">
        <f>"LE-010-23922"</f>
        <v>LE-010-23922</v>
      </c>
      <c r="B89" t="str">
        <f>"ACT"</f>
        <v>ACT</v>
      </c>
      <c r="C89" t="str">
        <f>"12"</f>
        <v>12</v>
      </c>
      <c r="D89" t="str">
        <f t="shared" si="11"/>
        <v>N/A</v>
      </c>
      <c r="E89" t="str">
        <f>"Y396289"</f>
        <v>Y396289</v>
      </c>
      <c r="F89" t="str">
        <f t="shared" si="18"/>
        <v>AEROSTAT</v>
      </c>
      <c r="G89" t="str">
        <f t="shared" si="19"/>
        <v>ESD IONIZER</v>
      </c>
      <c r="H89" t="str">
        <f>"mvazquez"</f>
        <v>mvazquez</v>
      </c>
      <c r="I89" t="str">
        <f t="shared" si="20"/>
        <v>119</v>
      </c>
      <c r="J89" t="str">
        <f t="shared" si="15"/>
        <v>N</v>
      </c>
    </row>
    <row r="90" spans="1:10">
      <c r="A90" t="str">
        <f>"LE-010-24066"</f>
        <v>LE-010-24066</v>
      </c>
      <c r="B90" t="str">
        <f>"INACT"</f>
        <v>INACT</v>
      </c>
      <c r="C90" t="str">
        <f>"19"</f>
        <v>19</v>
      </c>
      <c r="D90" t="str">
        <f t="shared" si="11"/>
        <v>N/A</v>
      </c>
      <c r="E90" t="str">
        <f>"Y396290"</f>
        <v>Y396290</v>
      </c>
      <c r="F90" t="str">
        <f t="shared" si="18"/>
        <v>AEROSTAT</v>
      </c>
      <c r="G90" t="str">
        <f t="shared" si="19"/>
        <v>ESD IONIZER</v>
      </c>
      <c r="H90" t="str">
        <f>"zfernandez"</f>
        <v>zfernandez</v>
      </c>
      <c r="I90" t="str">
        <f t="shared" si="20"/>
        <v>119</v>
      </c>
      <c r="J90" t="str">
        <f t="shared" si="15"/>
        <v>N</v>
      </c>
    </row>
    <row r="91" spans="1:10">
      <c r="A91" t="str">
        <f>"LE-010-23930"</f>
        <v>LE-010-23930</v>
      </c>
      <c r="B91" t="str">
        <f>"INACT"</f>
        <v>INACT</v>
      </c>
      <c r="C91" t="str">
        <f>"27"</f>
        <v>27</v>
      </c>
      <c r="D91" t="str">
        <f t="shared" si="11"/>
        <v>N/A</v>
      </c>
      <c r="E91" t="str">
        <f>"992240033673031"</f>
        <v>992240033673031</v>
      </c>
      <c r="F91" t="str">
        <f t="shared" si="18"/>
        <v>AEROSTAT</v>
      </c>
      <c r="G91" t="str">
        <f t="shared" si="19"/>
        <v>ESD IONIZER</v>
      </c>
      <c r="H91" t="str">
        <f>"avazquez"</f>
        <v>avazquez</v>
      </c>
      <c r="I91" t="str">
        <f t="shared" si="20"/>
        <v>119</v>
      </c>
      <c r="J91" t="str">
        <f t="shared" si="15"/>
        <v>N</v>
      </c>
    </row>
    <row r="92" spans="1:10">
      <c r="A92" t="str">
        <f>"LE-001-05360"</f>
        <v>LE-001-05360</v>
      </c>
      <c r="B92" t="str">
        <f>"INACT"</f>
        <v>INACT</v>
      </c>
      <c r="C92" t="str">
        <f>"18"</f>
        <v>18</v>
      </c>
      <c r="D92" t="str">
        <f>"TQP01198"</f>
        <v>TQP01198</v>
      </c>
      <c r="E92" t="str">
        <f>"NO1816"</f>
        <v>NO1816</v>
      </c>
      <c r="F92" t="str">
        <f>"3321LCZ"</f>
        <v>3321LCZ</v>
      </c>
      <c r="G92" t="str">
        <f>"LCZ METER"</f>
        <v>LCZ METER</v>
      </c>
      <c r="H92" t="str">
        <f>"grobles"</f>
        <v>grobles</v>
      </c>
      <c r="I92" t="str">
        <f>"042"</f>
        <v>042</v>
      </c>
      <c r="J92" t="str">
        <f>"Y"</f>
        <v>Y</v>
      </c>
    </row>
    <row r="93" spans="1:10">
      <c r="A93" t="str">
        <f>"LE-010-23966"</f>
        <v>LE-010-23966</v>
      </c>
      <c r="B93" t="str">
        <f t="shared" ref="B93:B113" si="21">"ACT"</f>
        <v>ACT</v>
      </c>
      <c r="C93" t="str">
        <f>"09"</f>
        <v>09</v>
      </c>
      <c r="D93" t="str">
        <f>"N/A"</f>
        <v>N/A</v>
      </c>
      <c r="E93" t="str">
        <f>"981240033671581"</f>
        <v>981240033671581</v>
      </c>
      <c r="F93" t="str">
        <f>"AEROSTAT"</f>
        <v>AEROSTAT</v>
      </c>
      <c r="G93" t="str">
        <f>"ESD IONIZER"</f>
        <v>ESD IONIZER</v>
      </c>
      <c r="H93" t="str">
        <f>"rramones"</f>
        <v>rramones</v>
      </c>
      <c r="I93" t="str">
        <f>"119"</f>
        <v>119</v>
      </c>
      <c r="J93" t="str">
        <f t="shared" ref="J93:J113" si="22">"N"</f>
        <v>N</v>
      </c>
    </row>
    <row r="94" spans="1:10">
      <c r="A94" t="str">
        <f>"LE-001-05021"</f>
        <v>LE-001-05021</v>
      </c>
      <c r="B94" t="str">
        <f t="shared" si="21"/>
        <v>ACT</v>
      </c>
      <c r="C94" t="str">
        <f>"26"</f>
        <v>26</v>
      </c>
      <c r="D94" t="str">
        <f>"TQP12911"</f>
        <v>TQP12911</v>
      </c>
      <c r="E94" t="str">
        <f>"NA"</f>
        <v>NA</v>
      </c>
      <c r="F94" t="str">
        <f>"NA"</f>
        <v>NA</v>
      </c>
      <c r="G94" t="str">
        <f>"TRS 10 GB #1"</f>
        <v>TRS 10 GB #1</v>
      </c>
      <c r="H94" t="str">
        <f>"jcastaneda"</f>
        <v>jcastaneda</v>
      </c>
      <c r="I94" t="str">
        <f>"046"</f>
        <v>046</v>
      </c>
      <c r="J94" t="str">
        <f t="shared" si="22"/>
        <v>N</v>
      </c>
    </row>
    <row r="95" spans="1:10">
      <c r="A95" t="str">
        <f>"0744TO01"</f>
        <v>0744TO01</v>
      </c>
      <c r="B95" t="str">
        <f t="shared" si="21"/>
        <v>ACT</v>
      </c>
      <c r="C95" t="str">
        <f>"27"</f>
        <v>27</v>
      </c>
      <c r="D95" t="str">
        <f>"TQP20419"</f>
        <v>TQP20419</v>
      </c>
      <c r="E95" t="str">
        <f>"326"</f>
        <v>326</v>
      </c>
      <c r="F95" t="str">
        <f>"3500 II"</f>
        <v>3500 II</v>
      </c>
      <c r="G95" t="str">
        <f>"MAQUINA PLACEMENT PALOMAR"</f>
        <v>MAQUINA PLACEMENT PALOMAR</v>
      </c>
      <c r="H95" t="str">
        <f>"ageronimo"</f>
        <v>ageronimo</v>
      </c>
      <c r="I95" t="str">
        <f>"090"</f>
        <v>090</v>
      </c>
      <c r="J95" t="str">
        <f t="shared" si="22"/>
        <v>N</v>
      </c>
    </row>
    <row r="96" spans="1:10">
      <c r="A96" t="str">
        <f>"0810TO00"</f>
        <v>0810TO00</v>
      </c>
      <c r="B96" t="str">
        <f t="shared" si="21"/>
        <v>ACT</v>
      </c>
      <c r="C96" t="str">
        <f>"27"</f>
        <v>27</v>
      </c>
      <c r="D96" t="str">
        <f>"CYP1216"</f>
        <v>CYP1216</v>
      </c>
      <c r="E96" t="str">
        <f>"010416-484"</f>
        <v>010416-484</v>
      </c>
      <c r="F96" t="str">
        <f>"4000"</f>
        <v>4000</v>
      </c>
      <c r="G96" t="str">
        <f>"AOI LASER WELD SYSTEM FW_1"</f>
        <v>AOI LASER WELD SYSTEM FW_1</v>
      </c>
      <c r="H96" t="str">
        <f>"acerecero"</f>
        <v>acerecero</v>
      </c>
      <c r="I96" t="str">
        <f>"051"</f>
        <v>051</v>
      </c>
      <c r="J96" t="str">
        <f t="shared" si="22"/>
        <v>N</v>
      </c>
    </row>
    <row r="97" spans="1:10">
      <c r="A97" t="str">
        <f>"0810TO02"</f>
        <v>0810TO02</v>
      </c>
      <c r="B97" t="str">
        <f t="shared" si="21"/>
        <v>ACT</v>
      </c>
      <c r="C97" t="str">
        <f>"27"</f>
        <v>27</v>
      </c>
      <c r="D97" t="str">
        <f>"TQP20860"</f>
        <v>TQP20860</v>
      </c>
      <c r="E97" t="str">
        <f>"N/A"</f>
        <v>N/A</v>
      </c>
      <c r="F97" t="str">
        <f>"N/A"</f>
        <v>N/A</v>
      </c>
      <c r="G97" t="str">
        <f>"AOI LASER WELD SYSTEM FW_2"</f>
        <v>AOI LASER WELD SYSTEM FW_2</v>
      </c>
      <c r="H97" t="str">
        <f>"acerecero"</f>
        <v>acerecero</v>
      </c>
      <c r="I97" t="str">
        <f>"051"</f>
        <v>051</v>
      </c>
      <c r="J97" t="str">
        <f t="shared" si="22"/>
        <v>N</v>
      </c>
    </row>
    <row r="98" spans="1:10">
      <c r="A98" t="str">
        <f>"LE-003-00785"</f>
        <v>LE-003-00785</v>
      </c>
      <c r="B98" t="str">
        <f t="shared" si="21"/>
        <v>ACT</v>
      </c>
      <c r="C98" t="str">
        <f>"09"</f>
        <v>09</v>
      </c>
      <c r="D98" t="str">
        <f>"N/A"</f>
        <v>N/A</v>
      </c>
      <c r="E98" t="str">
        <f>"HJ310031096"</f>
        <v>HJ310031096</v>
      </c>
      <c r="F98" t="str">
        <f>"N/A"</f>
        <v>N/A</v>
      </c>
      <c r="G98" t="str">
        <f>"FUME EXTRACTION"</f>
        <v>FUME EXTRACTION</v>
      </c>
      <c r="H98" t="str">
        <f>"rramones"</f>
        <v>rramones</v>
      </c>
      <c r="I98" t="str">
        <f>"034"</f>
        <v>034</v>
      </c>
      <c r="J98" t="str">
        <f t="shared" si="22"/>
        <v>N</v>
      </c>
    </row>
    <row r="99" spans="1:10">
      <c r="A99" t="str">
        <f>"0914PG16"</f>
        <v>0914PG16</v>
      </c>
      <c r="B99" t="str">
        <f t="shared" si="21"/>
        <v>ACT</v>
      </c>
      <c r="C99" t="str">
        <f>"30"</f>
        <v>30</v>
      </c>
      <c r="D99" t="str">
        <f>"N/A"</f>
        <v>N/A</v>
      </c>
      <c r="E99" t="str">
        <f>"N/A"</f>
        <v>N/A</v>
      </c>
      <c r="F99" t="str">
        <f>"N/A"</f>
        <v>N/A</v>
      </c>
      <c r="G99" t="str">
        <f>"EQUIPO DE PRUEBA FINAL (DTL)"</f>
        <v>EQUIPO DE PRUEBA FINAL (DTL)</v>
      </c>
      <c r="H99" t="str">
        <f>"jcastaneda"</f>
        <v>jcastaneda</v>
      </c>
      <c r="I99" t="str">
        <f>"081"</f>
        <v>081</v>
      </c>
      <c r="J99" t="str">
        <f t="shared" si="22"/>
        <v>N</v>
      </c>
    </row>
    <row r="100" spans="1:10">
      <c r="A100" t="str">
        <f>"0319UR65"</f>
        <v>0319UR65</v>
      </c>
      <c r="B100" t="str">
        <f t="shared" si="21"/>
        <v>ACT</v>
      </c>
      <c r="C100" t="str">
        <f>"08"</f>
        <v>08</v>
      </c>
      <c r="D100" t="str">
        <f>"TQP00410"</f>
        <v>TQP00410</v>
      </c>
      <c r="E100" t="str">
        <f>"153000164"</f>
        <v>153000164</v>
      </c>
      <c r="F100" t="str">
        <f>"TSA-301L"</f>
        <v>TSA-301L</v>
      </c>
      <c r="G100" t="str">
        <f>"CHAMBER THERMAL SHOCK"</f>
        <v>CHAMBER THERMAL SHOCK</v>
      </c>
      <c r="H100" t="str">
        <f>"cgallegos"</f>
        <v>cgallegos</v>
      </c>
      <c r="I100" t="str">
        <f>"028"</f>
        <v>028</v>
      </c>
      <c r="J100" t="str">
        <f t="shared" si="22"/>
        <v>N</v>
      </c>
    </row>
    <row r="101" spans="1:10">
      <c r="A101" t="str">
        <f>"LE-010-26931"</f>
        <v>LE-010-26931</v>
      </c>
      <c r="B101" t="str">
        <f t="shared" si="21"/>
        <v>ACT</v>
      </c>
      <c r="C101" t="str">
        <f>"08"</f>
        <v>08</v>
      </c>
      <c r="D101" t="str">
        <f>"N/A"</f>
        <v>N/A</v>
      </c>
      <c r="E101" t="str">
        <f>"ML-1100249"</f>
        <v>ML-1100249</v>
      </c>
      <c r="F101" t="str">
        <f>"CM-500"</f>
        <v>CM-500</v>
      </c>
      <c r="G101" t="str">
        <f>"ESD CONSTANT MONITOR"</f>
        <v>ESD CONSTANT MONITOR</v>
      </c>
      <c r="H101" t="str">
        <f>"mvazquez"</f>
        <v>mvazquez</v>
      </c>
      <c r="I101" t="str">
        <f>"058"</f>
        <v>058</v>
      </c>
      <c r="J101" t="str">
        <f t="shared" si="22"/>
        <v>N</v>
      </c>
    </row>
    <row r="102" spans="1:10">
      <c r="A102" t="str">
        <f>"LE-041-00641"</f>
        <v>LE-041-00641</v>
      </c>
      <c r="B102" t="str">
        <f t="shared" si="21"/>
        <v>ACT</v>
      </c>
      <c r="C102" t="str">
        <f>"08"</f>
        <v>08</v>
      </c>
      <c r="D102" t="str">
        <f>"TQP12622"</f>
        <v>TQP12622</v>
      </c>
      <c r="E102" t="str">
        <f>"152000845"</f>
        <v>152000845</v>
      </c>
      <c r="F102" t="str">
        <f>"TSA-70L"</f>
        <v>TSA-70L</v>
      </c>
      <c r="G102" t="str">
        <f>"THERMAL SHOCK CHAMBER"</f>
        <v>THERMAL SHOCK CHAMBER</v>
      </c>
      <c r="H102" t="str">
        <f>"cgallegos"</f>
        <v>cgallegos</v>
      </c>
      <c r="I102" t="str">
        <f>"028"</f>
        <v>028</v>
      </c>
      <c r="J102" t="str">
        <f t="shared" si="22"/>
        <v>N</v>
      </c>
    </row>
    <row r="103" spans="1:10">
      <c r="A103" t="str">
        <f>"LE-041-00715"</f>
        <v>LE-041-00715</v>
      </c>
      <c r="B103" t="str">
        <f t="shared" si="21"/>
        <v>ACT</v>
      </c>
      <c r="C103" t="str">
        <f>"30"</f>
        <v>30</v>
      </c>
      <c r="D103" t="str">
        <f>"N/A"</f>
        <v>N/A</v>
      </c>
      <c r="E103" t="str">
        <f>"151000281"</f>
        <v>151000281</v>
      </c>
      <c r="F103" t="str">
        <f>"TESE-10"</f>
        <v>TESE-10</v>
      </c>
      <c r="G103" t="str">
        <f>"THERMAL SHOCK CHAMBER"</f>
        <v>THERMAL SHOCK CHAMBER</v>
      </c>
      <c r="H103" t="str">
        <f>"jcastaneda"</f>
        <v>jcastaneda</v>
      </c>
      <c r="I103" t="str">
        <f>"028"</f>
        <v>028</v>
      </c>
      <c r="J103" t="str">
        <f t="shared" si="22"/>
        <v>N</v>
      </c>
    </row>
    <row r="104" spans="1:10">
      <c r="A104" t="str">
        <f>"1036EN00"</f>
        <v>1036EN00</v>
      </c>
      <c r="B104" t="str">
        <f t="shared" si="21"/>
        <v>ACT</v>
      </c>
      <c r="C104" t="str">
        <f>"09"</f>
        <v>09</v>
      </c>
      <c r="D104" t="str">
        <f>"TQP01899"</f>
        <v>TQP01899</v>
      </c>
      <c r="E104" t="str">
        <f>"AB18014"</f>
        <v>AB18014</v>
      </c>
      <c r="F104" t="str">
        <f>"N/A"</f>
        <v>N/A</v>
      </c>
      <c r="G104" t="str">
        <f>"CYBONDER # 30"</f>
        <v>CYBONDER # 30</v>
      </c>
      <c r="H104" t="str">
        <f>"garaiza"</f>
        <v>garaiza</v>
      </c>
      <c r="I104" t="str">
        <f>"023"</f>
        <v>023</v>
      </c>
      <c r="J104" t="str">
        <f t="shared" si="22"/>
        <v>N</v>
      </c>
    </row>
    <row r="105" spans="1:10">
      <c r="A105" t="str">
        <f>"LE-011-02085"</f>
        <v>LE-011-02085</v>
      </c>
      <c r="B105" t="str">
        <f t="shared" si="21"/>
        <v>ACT</v>
      </c>
      <c r="C105" t="str">
        <f>"13"</f>
        <v>13</v>
      </c>
      <c r="D105" t="str">
        <f>"TQP01836"</f>
        <v>TQP01836</v>
      </c>
      <c r="E105" t="str">
        <f>"AB17889"</f>
        <v>AB17889</v>
      </c>
      <c r="F105" t="str">
        <f>"N/A"</f>
        <v>N/A</v>
      </c>
      <c r="G105" t="str">
        <f>"CYBONDER # 04"</f>
        <v>CYBONDER # 04</v>
      </c>
      <c r="H105" t="str">
        <f>"vvazquez"</f>
        <v>vvazquez</v>
      </c>
      <c r="I105" t="str">
        <f>"023"</f>
        <v>023</v>
      </c>
      <c r="J105" t="str">
        <f t="shared" si="22"/>
        <v>N</v>
      </c>
    </row>
    <row r="106" spans="1:10">
      <c r="A106" t="str">
        <f>"1044EN02"</f>
        <v>1044EN02</v>
      </c>
      <c r="B106" t="str">
        <f t="shared" si="21"/>
        <v>ACT</v>
      </c>
      <c r="C106" t="str">
        <f>"09"</f>
        <v>09</v>
      </c>
      <c r="D106" t="str">
        <f>"N/A"</f>
        <v>N/A</v>
      </c>
      <c r="E106" t="str">
        <f>"CML-1100288"</f>
        <v>CML-1100288</v>
      </c>
      <c r="F106" t="str">
        <f>"CM-500A"</f>
        <v>CM-500A</v>
      </c>
      <c r="G106" t="str">
        <f>"ESD CONSTANT MONITOR"</f>
        <v>ESD CONSTANT MONITOR</v>
      </c>
      <c r="H106" t="str">
        <f>"hcharles"</f>
        <v>hcharles</v>
      </c>
      <c r="I106" t="str">
        <f>"058"</f>
        <v>058</v>
      </c>
      <c r="J106" t="str">
        <f t="shared" si="22"/>
        <v>N</v>
      </c>
    </row>
    <row r="107" spans="1:10">
      <c r="A107" t="str">
        <f>"1309QP00"</f>
        <v>1309QP00</v>
      </c>
      <c r="B107" t="str">
        <f t="shared" si="21"/>
        <v>ACT</v>
      </c>
      <c r="C107" t="str">
        <f>"33"</f>
        <v>33</v>
      </c>
      <c r="D107" t="str">
        <f>"N/A"</f>
        <v>N/A</v>
      </c>
      <c r="E107" t="str">
        <f>"002263"</f>
        <v>002263</v>
      </c>
      <c r="F107" t="str">
        <f>"N/A"</f>
        <v>N/A</v>
      </c>
      <c r="G107" t="str">
        <f>"CORTADORA DE TERMINALES 1MM PM-PACK"</f>
        <v>CORTADORA DE TERMINALES 1MM PM-PACK</v>
      </c>
      <c r="H107" t="str">
        <f>"ecerda"</f>
        <v>ecerda</v>
      </c>
      <c r="I107" t="str">
        <f>"081"</f>
        <v>081</v>
      </c>
      <c r="J107" t="str">
        <f t="shared" si="22"/>
        <v>N</v>
      </c>
    </row>
    <row r="108" spans="1:10">
      <c r="A108" t="str">
        <f>"1329QP00"</f>
        <v>1329QP00</v>
      </c>
      <c r="B108" t="str">
        <f t="shared" si="21"/>
        <v>ACT</v>
      </c>
      <c r="C108" t="str">
        <f>"33"</f>
        <v>33</v>
      </c>
      <c r="D108" t="str">
        <f>"TQP22629"</f>
        <v>TQP22629</v>
      </c>
      <c r="E108" t="str">
        <f>"306027"</f>
        <v>306027</v>
      </c>
      <c r="F108" t="str">
        <f>"ESEC3088"</f>
        <v>ESEC3088</v>
      </c>
      <c r="G108" t="str">
        <f>"WIRE BOND"</f>
        <v>WIRE BOND</v>
      </c>
      <c r="H108" t="str">
        <f>"rramones"</f>
        <v>rramones</v>
      </c>
      <c r="I108" t="str">
        <f>"027"</f>
        <v>027</v>
      </c>
      <c r="J108" t="str">
        <f t="shared" si="22"/>
        <v>N</v>
      </c>
    </row>
    <row r="109" spans="1:10">
      <c r="A109" t="str">
        <f>"LE-011-02084"</f>
        <v>LE-011-02084</v>
      </c>
      <c r="B109" t="str">
        <f t="shared" si="21"/>
        <v>ACT</v>
      </c>
      <c r="C109" t="str">
        <f>"43"</f>
        <v>43</v>
      </c>
      <c r="D109" t="str">
        <f>"TQP01835"</f>
        <v>TQP01835</v>
      </c>
      <c r="E109" t="str">
        <f>"AB17887"</f>
        <v>AB17887</v>
      </c>
      <c r="F109" t="str">
        <f>"DMM2150"</f>
        <v>DMM2150</v>
      </c>
      <c r="G109" t="str">
        <f>"CYBOND # 3"</f>
        <v>CYBOND # 3</v>
      </c>
      <c r="H109" t="str">
        <f>"vvazquez"</f>
        <v>vvazquez</v>
      </c>
      <c r="I109" t="str">
        <f>"023"</f>
        <v>023</v>
      </c>
      <c r="J109" t="str">
        <f t="shared" si="22"/>
        <v>N</v>
      </c>
    </row>
    <row r="110" spans="1:10">
      <c r="A110" t="str">
        <f>"LE-001-04899"</f>
        <v>LE-001-04899</v>
      </c>
      <c r="B110" t="str">
        <f t="shared" si="21"/>
        <v>ACT</v>
      </c>
      <c r="C110" t="str">
        <f>"13"</f>
        <v>13</v>
      </c>
      <c r="D110" t="str">
        <f>"TQP12234"</f>
        <v>TQP12234</v>
      </c>
      <c r="E110" t="str">
        <f>"N/A"</f>
        <v>N/A</v>
      </c>
      <c r="F110" t="str">
        <f>"N/A"</f>
        <v>N/A</v>
      </c>
      <c r="G110" t="str">
        <f>"TEST SET  PURGE #20"</f>
        <v>TEST SET  PURGE #20</v>
      </c>
      <c r="H110" t="str">
        <f>"jmarmolejo"</f>
        <v>jmarmolejo</v>
      </c>
      <c r="I110" t="str">
        <f>"081"</f>
        <v>081</v>
      </c>
      <c r="J110" t="str">
        <f t="shared" si="22"/>
        <v>N</v>
      </c>
    </row>
    <row r="111" spans="1:10">
      <c r="A111" t="str">
        <f>"LE-001-04825"</f>
        <v>LE-001-04825</v>
      </c>
      <c r="B111" t="str">
        <f t="shared" si="21"/>
        <v>ACT</v>
      </c>
      <c r="C111" t="str">
        <f>"13"</f>
        <v>13</v>
      </c>
      <c r="D111" t="str">
        <f>"TQP12172"</f>
        <v>TQP12172</v>
      </c>
      <c r="E111" t="str">
        <f>"N/A"</f>
        <v>N/A</v>
      </c>
      <c r="F111" t="str">
        <f>"N/A"</f>
        <v>N/A</v>
      </c>
      <c r="G111" t="str">
        <f>"OSA PURGE  # 30"</f>
        <v>OSA PURGE  # 30</v>
      </c>
      <c r="H111" t="str">
        <f>"jmarmolejo"</f>
        <v>jmarmolejo</v>
      </c>
      <c r="I111" t="str">
        <f>"081"</f>
        <v>081</v>
      </c>
      <c r="J111" t="str">
        <f t="shared" si="22"/>
        <v>N</v>
      </c>
    </row>
    <row r="112" spans="1:10">
      <c r="A112" t="str">
        <f>"LE-011-01985"</f>
        <v>LE-011-01985</v>
      </c>
      <c r="B112" t="str">
        <f t="shared" si="21"/>
        <v>ACT</v>
      </c>
      <c r="C112" t="str">
        <f>"43"</f>
        <v>43</v>
      </c>
      <c r="D112" t="str">
        <f>"TQP20952"</f>
        <v>TQP20952</v>
      </c>
      <c r="E112" t="str">
        <f>"AB17275"</f>
        <v>AB17275</v>
      </c>
      <c r="F112" t="str">
        <f>"DMM2150"</f>
        <v>DMM2150</v>
      </c>
      <c r="G112" t="str">
        <f>"CYBOND# 14"</f>
        <v>CYBOND# 14</v>
      </c>
      <c r="H112" t="str">
        <f>"vvazquez"</f>
        <v>vvazquez</v>
      </c>
      <c r="I112" t="str">
        <f>"023"</f>
        <v>023</v>
      </c>
      <c r="J112" t="str">
        <f t="shared" si="22"/>
        <v>N</v>
      </c>
    </row>
    <row r="113" spans="1:10">
      <c r="A113" t="str">
        <f>"1431QA03"</f>
        <v>1431QA03</v>
      </c>
      <c r="B113" t="str">
        <f t="shared" si="21"/>
        <v>ACT</v>
      </c>
      <c r="C113" t="str">
        <f>"47"</f>
        <v>47</v>
      </c>
      <c r="D113" t="str">
        <f>"N/A"</f>
        <v>N/A</v>
      </c>
      <c r="E113" t="str">
        <f>"PCM50011130003"</f>
        <v>PCM50011130003</v>
      </c>
      <c r="F113" t="str">
        <f>"CM-500A"</f>
        <v>CM-500A</v>
      </c>
      <c r="G113" t="str">
        <f>"ESD CONSTANT MONITOR  TEST PSBA"</f>
        <v>ESD CONSTANT MONITOR  TEST PSBA</v>
      </c>
      <c r="H113" t="str">
        <f>"jcastaneda"</f>
        <v>jcastaneda</v>
      </c>
      <c r="I113" t="str">
        <f>"058"</f>
        <v>058</v>
      </c>
      <c r="J113" t="str">
        <f t="shared" si="22"/>
        <v>N</v>
      </c>
    </row>
    <row r="114" spans="1:10">
      <c r="A114" t="str">
        <f>"LE-011-01916"</f>
        <v>LE-011-01916</v>
      </c>
      <c r="B114" t="str">
        <f>"INACT"</f>
        <v>INACT</v>
      </c>
      <c r="C114" t="str">
        <f>"09"</f>
        <v>09</v>
      </c>
      <c r="D114" t="str">
        <f>"TQP00320"</f>
        <v>TQP00320</v>
      </c>
      <c r="E114" t="str">
        <f>"16353"</f>
        <v>16353</v>
      </c>
      <c r="F114" t="str">
        <f t="shared" ref="F114:F135" si="23">"DMM2150"</f>
        <v>DMM2150</v>
      </c>
      <c r="G114" t="str">
        <f>"AUTOBONDER  PKG  #  06"</f>
        <v>AUTOBONDER  PKG  #  06</v>
      </c>
      <c r="H114" t="str">
        <f>"garaiza"</f>
        <v>garaiza</v>
      </c>
      <c r="I114" t="str">
        <f t="shared" ref="I114:I135" si="24">"023"</f>
        <v>023</v>
      </c>
      <c r="J114" t="str">
        <f>"Y"</f>
        <v>Y</v>
      </c>
    </row>
    <row r="115" spans="1:10">
      <c r="A115" t="str">
        <f>"LE-011-02231"</f>
        <v>LE-011-02231</v>
      </c>
      <c r="B115" t="str">
        <f t="shared" ref="B115:B125" si="25">"ACT"</f>
        <v>ACT</v>
      </c>
      <c r="C115" t="str">
        <f>"09"</f>
        <v>09</v>
      </c>
      <c r="D115" t="str">
        <f>"TQP01837"</f>
        <v>TQP01837</v>
      </c>
      <c r="E115" t="str">
        <f>"18623"</f>
        <v>18623</v>
      </c>
      <c r="F115" t="str">
        <f t="shared" si="23"/>
        <v>DMM2150</v>
      </c>
      <c r="G115" t="str">
        <f>"CYBONDER # 02"</f>
        <v>CYBONDER # 02</v>
      </c>
      <c r="H115" t="str">
        <f>"garaiza"</f>
        <v>garaiza</v>
      </c>
      <c r="I115" t="str">
        <f t="shared" si="24"/>
        <v>023</v>
      </c>
      <c r="J115" t="str">
        <f t="shared" ref="J115:J131" si="26">"N"</f>
        <v>N</v>
      </c>
    </row>
    <row r="116" spans="1:10">
      <c r="A116" t="str">
        <f>"LE-011-01921"</f>
        <v>LE-011-01921</v>
      </c>
      <c r="B116" t="str">
        <f t="shared" si="25"/>
        <v>ACT</v>
      </c>
      <c r="C116" t="str">
        <f>"13"</f>
        <v>13</v>
      </c>
      <c r="D116" t="str">
        <f>"TQP01816"</f>
        <v>TQP01816</v>
      </c>
      <c r="E116" t="str">
        <f>"16279"</f>
        <v>16279</v>
      </c>
      <c r="F116" t="str">
        <f t="shared" si="23"/>
        <v>DMM2150</v>
      </c>
      <c r="G116" t="str">
        <f>"CYBONDER  OSA  #  28"</f>
        <v>CYBONDER  OSA  #  28</v>
      </c>
      <c r="H116" t="str">
        <f>"lecortez"</f>
        <v>lecortez</v>
      </c>
      <c r="I116" t="str">
        <f t="shared" si="24"/>
        <v>023</v>
      </c>
      <c r="J116" t="str">
        <f t="shared" si="26"/>
        <v>N</v>
      </c>
    </row>
    <row r="117" spans="1:10">
      <c r="A117" t="str">
        <f>"LE-011-01922"</f>
        <v>LE-011-01922</v>
      </c>
      <c r="B117" t="str">
        <f t="shared" si="25"/>
        <v>ACT</v>
      </c>
      <c r="C117" t="str">
        <f>"09"</f>
        <v>09</v>
      </c>
      <c r="D117" t="str">
        <f>"TQP01917"</f>
        <v>TQP01917</v>
      </c>
      <c r="E117" t="str">
        <f>"16280"</f>
        <v>16280</v>
      </c>
      <c r="F117" t="str">
        <f t="shared" si="23"/>
        <v>DMM2150</v>
      </c>
      <c r="G117" t="str">
        <f>"CYBOND25"</f>
        <v>CYBOND25</v>
      </c>
      <c r="H117" t="str">
        <f>"garaiza"</f>
        <v>garaiza</v>
      </c>
      <c r="I117" t="str">
        <f t="shared" si="24"/>
        <v>023</v>
      </c>
      <c r="J117" t="str">
        <f t="shared" si="26"/>
        <v>N</v>
      </c>
    </row>
    <row r="118" spans="1:10">
      <c r="A118" t="str">
        <f>"LE-011-02082"</f>
        <v>LE-011-02082</v>
      </c>
      <c r="B118" t="str">
        <f t="shared" si="25"/>
        <v>ACT</v>
      </c>
      <c r="C118" t="str">
        <f>"13"</f>
        <v>13</v>
      </c>
      <c r="D118" t="str">
        <f>"TQP00309"</f>
        <v>TQP00309</v>
      </c>
      <c r="E118" t="str">
        <f>"17883"</f>
        <v>17883</v>
      </c>
      <c r="F118" t="str">
        <f t="shared" si="23"/>
        <v>DMM2150</v>
      </c>
      <c r="G118" t="str">
        <f>"CYBONDER  OSA  #  24"</f>
        <v>CYBONDER  OSA  #  24</v>
      </c>
      <c r="H118" t="str">
        <f>"lecortez"</f>
        <v>lecortez</v>
      </c>
      <c r="I118" t="str">
        <f t="shared" si="24"/>
        <v>023</v>
      </c>
      <c r="J118" t="str">
        <f t="shared" si="26"/>
        <v>N</v>
      </c>
    </row>
    <row r="119" spans="1:10">
      <c r="A119" t="str">
        <f>"LE-011-02103"</f>
        <v>LE-011-02103</v>
      </c>
      <c r="B119" t="str">
        <f t="shared" si="25"/>
        <v>ACT</v>
      </c>
      <c r="C119" t="str">
        <f>"13"</f>
        <v>13</v>
      </c>
      <c r="D119" t="str">
        <f>"TQP01833"</f>
        <v>TQP01833</v>
      </c>
      <c r="E119" t="str">
        <f>"18010"</f>
        <v>18010</v>
      </c>
      <c r="F119" t="str">
        <f t="shared" si="23"/>
        <v>DMM2150</v>
      </c>
      <c r="G119" t="str">
        <f>"CYBOND  OSA  #  19"</f>
        <v>CYBOND  OSA  #  19</v>
      </c>
      <c r="H119" t="str">
        <f>"lecortez"</f>
        <v>lecortez</v>
      </c>
      <c r="I119" t="str">
        <f t="shared" si="24"/>
        <v>023</v>
      </c>
      <c r="J119" t="str">
        <f t="shared" si="26"/>
        <v>N</v>
      </c>
    </row>
    <row r="120" spans="1:10">
      <c r="A120" t="str">
        <f>"LE-011-01912"</f>
        <v>LE-011-01912</v>
      </c>
      <c r="B120" t="str">
        <f t="shared" si="25"/>
        <v>ACT</v>
      </c>
      <c r="C120" t="str">
        <f>"13"</f>
        <v>13</v>
      </c>
      <c r="D120" t="str">
        <f>"TQP01817"</f>
        <v>TQP01817</v>
      </c>
      <c r="E120" t="str">
        <f>"16282"</f>
        <v>16282</v>
      </c>
      <c r="F120" t="str">
        <f t="shared" si="23"/>
        <v>DMM2150</v>
      </c>
      <c r="G120" t="str">
        <f>"AUTOBONDER  OSA  #  02"</f>
        <v>AUTOBONDER  OSA  #  02</v>
      </c>
      <c r="H120" t="str">
        <f>"vvazquez"</f>
        <v>vvazquez</v>
      </c>
      <c r="I120" t="str">
        <f t="shared" si="24"/>
        <v>023</v>
      </c>
      <c r="J120" t="str">
        <f t="shared" si="26"/>
        <v>N</v>
      </c>
    </row>
    <row r="121" spans="1:10">
      <c r="A121" t="str">
        <f>"LE-011-01914"</f>
        <v>LE-011-01914</v>
      </c>
      <c r="B121" t="str">
        <f t="shared" si="25"/>
        <v>ACT</v>
      </c>
      <c r="C121" t="str">
        <f>"43"</f>
        <v>43</v>
      </c>
      <c r="D121" t="str">
        <f>"TQP01875"</f>
        <v>TQP01875</v>
      </c>
      <c r="E121" t="str">
        <f>"16353"</f>
        <v>16353</v>
      </c>
      <c r="F121" t="str">
        <f t="shared" si="23"/>
        <v>DMM2150</v>
      </c>
      <c r="G121" t="str">
        <f>"CYBOND #59"</f>
        <v>CYBOND #59</v>
      </c>
      <c r="H121" t="str">
        <f>"vvazquez"</f>
        <v>vvazquez</v>
      </c>
      <c r="I121" t="str">
        <f t="shared" si="24"/>
        <v>023</v>
      </c>
      <c r="J121" t="str">
        <f t="shared" si="26"/>
        <v>N</v>
      </c>
    </row>
    <row r="122" spans="1:10">
      <c r="A122" t="str">
        <f>"LE-011-01913"</f>
        <v>LE-011-01913</v>
      </c>
      <c r="B122" t="str">
        <f t="shared" si="25"/>
        <v>ACT</v>
      </c>
      <c r="C122" t="str">
        <f t="shared" ref="C122:C127" si="27">"13"</f>
        <v>13</v>
      </c>
      <c r="D122" t="str">
        <f>"TQP01818"</f>
        <v>TQP01818</v>
      </c>
      <c r="E122" t="str">
        <f>"16281"</f>
        <v>16281</v>
      </c>
      <c r="F122" t="str">
        <f t="shared" si="23"/>
        <v>DMM2150</v>
      </c>
      <c r="G122" t="str">
        <f>"AUTOBONDER  OSA  #  04"</f>
        <v>AUTOBONDER  OSA  #  04</v>
      </c>
      <c r="H122" t="str">
        <f>"vvazquez"</f>
        <v>vvazquez</v>
      </c>
      <c r="I122" t="str">
        <f t="shared" si="24"/>
        <v>023</v>
      </c>
      <c r="J122" t="str">
        <f t="shared" si="26"/>
        <v>N</v>
      </c>
    </row>
    <row r="123" spans="1:10">
      <c r="A123" t="str">
        <f>"LE-011-01983"</f>
        <v>LE-011-01983</v>
      </c>
      <c r="B123" t="str">
        <f t="shared" si="25"/>
        <v>ACT</v>
      </c>
      <c r="C123" t="str">
        <f t="shared" si="27"/>
        <v>13</v>
      </c>
      <c r="D123" t="str">
        <f>"TQP01912"</f>
        <v>TQP01912</v>
      </c>
      <c r="E123" t="str">
        <f>"17247"</f>
        <v>17247</v>
      </c>
      <c r="F123" t="str">
        <f t="shared" si="23"/>
        <v>DMM2150</v>
      </c>
      <c r="G123" t="str">
        <f>"AUTOBONDER  OSA  #  05"</f>
        <v>AUTOBONDER  OSA  #  05</v>
      </c>
      <c r="H123" t="str">
        <f>"vvazquez"</f>
        <v>vvazquez</v>
      </c>
      <c r="I123" t="str">
        <f t="shared" si="24"/>
        <v>023</v>
      </c>
      <c r="J123" t="str">
        <f t="shared" si="26"/>
        <v>N</v>
      </c>
    </row>
    <row r="124" spans="1:10">
      <c r="A124" t="str">
        <f>"0511OS00"</f>
        <v>0511OS00</v>
      </c>
      <c r="B124" t="str">
        <f t="shared" si="25"/>
        <v>ACT</v>
      </c>
      <c r="C124" t="str">
        <f t="shared" si="27"/>
        <v>13</v>
      </c>
      <c r="D124" t="str">
        <f>"TQP09327"</f>
        <v>TQP09327</v>
      </c>
      <c r="E124" t="str">
        <f>"18628"</f>
        <v>18628</v>
      </c>
      <c r="F124" t="str">
        <f t="shared" si="23"/>
        <v>DMM2150</v>
      </c>
      <c r="G124" t="str">
        <f>"AUTOBONDER  MRC2-4"</f>
        <v>AUTOBONDER  MRC2-4</v>
      </c>
      <c r="H124" t="str">
        <f>"ahernandez"</f>
        <v>ahernandez</v>
      </c>
      <c r="I124" t="str">
        <f t="shared" si="24"/>
        <v>023</v>
      </c>
      <c r="J124" t="str">
        <f t="shared" si="26"/>
        <v>N</v>
      </c>
    </row>
    <row r="125" spans="1:10">
      <c r="A125" t="str">
        <f>"0524OS00"</f>
        <v>0524OS00</v>
      </c>
      <c r="B125" t="str">
        <f t="shared" si="25"/>
        <v>ACT</v>
      </c>
      <c r="C125" t="str">
        <f t="shared" si="27"/>
        <v>13</v>
      </c>
      <c r="D125" t="str">
        <f>"TQP01975"</f>
        <v>TQP01975</v>
      </c>
      <c r="E125" t="str">
        <f>"18931"</f>
        <v>18931</v>
      </c>
      <c r="F125" t="str">
        <f t="shared" si="23"/>
        <v>DMM2150</v>
      </c>
      <c r="G125" t="str">
        <f>"CYBOND      OSA # 18"</f>
        <v>CYBOND      OSA # 18</v>
      </c>
      <c r="H125" t="str">
        <f>"lecortez"</f>
        <v>lecortez</v>
      </c>
      <c r="I125" t="str">
        <f t="shared" si="24"/>
        <v>023</v>
      </c>
      <c r="J125" t="str">
        <f t="shared" si="26"/>
        <v>N</v>
      </c>
    </row>
    <row r="126" spans="1:10">
      <c r="A126" t="str">
        <f>"LE-011-01919"</f>
        <v>LE-011-01919</v>
      </c>
      <c r="B126" t="str">
        <f>"INACT"</f>
        <v>INACT</v>
      </c>
      <c r="C126" t="str">
        <f t="shared" si="27"/>
        <v>13</v>
      </c>
      <c r="D126" t="str">
        <f>"TQP01819"</f>
        <v>TQP01819</v>
      </c>
      <c r="E126" t="str">
        <f>"16277"</f>
        <v>16277</v>
      </c>
      <c r="F126" t="str">
        <f t="shared" si="23"/>
        <v>DMM2150</v>
      </c>
      <c r="G126" t="str">
        <f>"AUTOBONDER  OSA  #  08"</f>
        <v>AUTOBONDER  OSA  #  08</v>
      </c>
      <c r="H126" t="str">
        <f>"vvazquez"</f>
        <v>vvazquez</v>
      </c>
      <c r="I126" t="str">
        <f t="shared" si="24"/>
        <v>023</v>
      </c>
      <c r="J126" t="str">
        <f t="shared" si="26"/>
        <v>N</v>
      </c>
    </row>
    <row r="127" spans="1:10">
      <c r="A127" t="str">
        <f>"LE-011-02224"</f>
        <v>LE-011-02224</v>
      </c>
      <c r="B127" t="str">
        <f>"ACT"</f>
        <v>ACT</v>
      </c>
      <c r="C127" t="str">
        <f t="shared" si="27"/>
        <v>13</v>
      </c>
      <c r="D127" t="str">
        <f>"TQP01919"</f>
        <v>TQP01919</v>
      </c>
      <c r="E127" t="str">
        <f>"18620"</f>
        <v>18620</v>
      </c>
      <c r="F127" t="str">
        <f t="shared" si="23"/>
        <v>DMM2150</v>
      </c>
      <c r="G127" t="str">
        <f>"CYBONDER # 01"</f>
        <v>CYBONDER # 01</v>
      </c>
      <c r="H127" t="str">
        <f>"lecortez"</f>
        <v>lecortez</v>
      </c>
      <c r="I127" t="str">
        <f t="shared" si="24"/>
        <v>023</v>
      </c>
      <c r="J127" t="str">
        <f t="shared" si="26"/>
        <v>N</v>
      </c>
    </row>
    <row r="128" spans="1:10">
      <c r="A128" t="str">
        <f>"LE-011-01993"</f>
        <v>LE-011-01993</v>
      </c>
      <c r="B128" t="str">
        <f>"ACT"</f>
        <v>ACT</v>
      </c>
      <c r="C128" t="str">
        <f>"43"</f>
        <v>43</v>
      </c>
      <c r="D128" t="str">
        <f>"TQP00301"</f>
        <v>TQP00301</v>
      </c>
      <c r="E128" t="str">
        <f>"17246"</f>
        <v>17246</v>
      </c>
      <c r="F128" t="str">
        <f t="shared" si="23"/>
        <v>DMM2150</v>
      </c>
      <c r="G128" t="str">
        <f>"CYBOND # 60"</f>
        <v>CYBOND # 60</v>
      </c>
      <c r="H128" t="str">
        <f>"vvazquez"</f>
        <v>vvazquez</v>
      </c>
      <c r="I128" t="str">
        <f t="shared" si="24"/>
        <v>023</v>
      </c>
      <c r="J128" t="str">
        <f t="shared" si="26"/>
        <v>N</v>
      </c>
    </row>
    <row r="129" spans="1:10">
      <c r="A129" t="str">
        <f>"LE-011-02081"</f>
        <v>LE-011-02081</v>
      </c>
      <c r="B129" t="str">
        <f>"ACT"</f>
        <v>ACT</v>
      </c>
      <c r="C129" t="str">
        <f>"37"</f>
        <v>37</v>
      </c>
      <c r="D129" t="str">
        <f>"TQP01965"</f>
        <v>TQP01965</v>
      </c>
      <c r="E129" t="str">
        <f>"17885"</f>
        <v>17885</v>
      </c>
      <c r="F129" t="str">
        <f t="shared" si="23"/>
        <v>DMM2150</v>
      </c>
      <c r="G129" t="str">
        <f>"AUTOBONDER  PKG  #  10"</f>
        <v>AUTOBONDER  PKG  #  10</v>
      </c>
      <c r="H129" t="str">
        <f>"garaiza"</f>
        <v>garaiza</v>
      </c>
      <c r="I129" t="str">
        <f t="shared" si="24"/>
        <v>023</v>
      </c>
      <c r="J129" t="str">
        <f t="shared" si="26"/>
        <v>N</v>
      </c>
    </row>
    <row r="130" spans="1:10">
      <c r="A130" t="str">
        <f>"LE-011-02099"</f>
        <v>LE-011-02099</v>
      </c>
      <c r="B130" t="str">
        <f>"ACT"</f>
        <v>ACT</v>
      </c>
      <c r="C130" t="str">
        <f>"29"</f>
        <v>29</v>
      </c>
      <c r="D130" t="str">
        <f>"TQP01842"</f>
        <v>TQP01842</v>
      </c>
      <c r="E130" t="str">
        <f>"18624"</f>
        <v>18624</v>
      </c>
      <c r="F130" t="str">
        <f t="shared" si="23"/>
        <v>DMM2150</v>
      </c>
      <c r="G130" t="str">
        <f>"AUTOBONDER  PKG  #  25"</f>
        <v>AUTOBONDER  PKG  #  25</v>
      </c>
      <c r="H130" t="str">
        <f>"garaiza"</f>
        <v>garaiza</v>
      </c>
      <c r="I130" t="str">
        <f t="shared" si="24"/>
        <v>023</v>
      </c>
      <c r="J130" t="str">
        <f t="shared" si="26"/>
        <v>N</v>
      </c>
    </row>
    <row r="131" spans="1:10">
      <c r="A131" t="str">
        <f>"LE-011-02230"</f>
        <v>LE-011-02230</v>
      </c>
      <c r="B131" t="str">
        <f>"ACT"</f>
        <v>ACT</v>
      </c>
      <c r="C131" t="str">
        <f>"13"</f>
        <v>13</v>
      </c>
      <c r="D131" t="str">
        <f>"TQP01838"</f>
        <v>TQP01838</v>
      </c>
      <c r="E131" t="str">
        <f>"18621"</f>
        <v>18621</v>
      </c>
      <c r="F131" t="str">
        <f t="shared" si="23"/>
        <v>DMM2150</v>
      </c>
      <c r="G131" t="str">
        <f>"CYBONDER # 20"</f>
        <v>CYBONDER # 20</v>
      </c>
      <c r="H131" t="str">
        <f>"lecortez"</f>
        <v>lecortez</v>
      </c>
      <c r="I131" t="str">
        <f t="shared" si="24"/>
        <v>023</v>
      </c>
      <c r="J131" t="str">
        <f t="shared" si="26"/>
        <v>N</v>
      </c>
    </row>
    <row r="132" spans="1:10">
      <c r="A132" t="str">
        <f>"LE-011-02220"</f>
        <v>LE-011-02220</v>
      </c>
      <c r="B132" t="str">
        <f>"INACT"</f>
        <v>INACT</v>
      </c>
      <c r="C132" t="str">
        <f>"04"</f>
        <v>04</v>
      </c>
      <c r="D132" t="str">
        <f>"TQP01839"</f>
        <v>TQP01839</v>
      </c>
      <c r="E132" t="str">
        <f>"18619"</f>
        <v>18619</v>
      </c>
      <c r="F132" t="str">
        <f t="shared" si="23"/>
        <v>DMM2150</v>
      </c>
      <c r="G132" t="str">
        <f>"AUTOBONDER  PKG  #  22"</f>
        <v>AUTOBONDER  PKG  #  22</v>
      </c>
      <c r="H132" t="str">
        <f>"garaiza"</f>
        <v>garaiza</v>
      </c>
      <c r="I132" t="str">
        <f t="shared" si="24"/>
        <v>023</v>
      </c>
      <c r="J132" t="str">
        <f>"Y"</f>
        <v>Y</v>
      </c>
    </row>
    <row r="133" spans="1:10">
      <c r="A133" t="str">
        <f>"LE-011-02124"</f>
        <v>LE-011-02124</v>
      </c>
      <c r="B133" t="str">
        <f>"INACT"</f>
        <v>INACT</v>
      </c>
      <c r="C133" t="str">
        <f>"19"</f>
        <v>19</v>
      </c>
      <c r="D133" t="str">
        <f>"TQP01841"</f>
        <v>TQP01841</v>
      </c>
      <c r="E133" t="str">
        <f>"18204"</f>
        <v>18204</v>
      </c>
      <c r="F133" t="str">
        <f t="shared" si="23"/>
        <v>DMM2150</v>
      </c>
      <c r="G133" t="str">
        <f>"CYBONDER # 05"</f>
        <v>CYBONDER # 05</v>
      </c>
      <c r="H133" t="str">
        <f>"garaiza"</f>
        <v>garaiza</v>
      </c>
      <c r="I133" t="str">
        <f t="shared" si="24"/>
        <v>023</v>
      </c>
      <c r="J133" t="str">
        <f t="shared" ref="J133:J164" si="28">"N"</f>
        <v>N</v>
      </c>
    </row>
    <row r="134" spans="1:10">
      <c r="A134" t="str">
        <f>"LE-011-02154"</f>
        <v>LE-011-02154</v>
      </c>
      <c r="B134" t="str">
        <f>"ACT"</f>
        <v>ACT</v>
      </c>
      <c r="C134" t="str">
        <f>"43"</f>
        <v>43</v>
      </c>
      <c r="D134" t="str">
        <f>"TQP01922"</f>
        <v>TQP01922</v>
      </c>
      <c r="E134" t="str">
        <f>"18632"</f>
        <v>18632</v>
      </c>
      <c r="F134" t="str">
        <f t="shared" si="23"/>
        <v>DMM2150</v>
      </c>
      <c r="G134" t="str">
        <f>"CYBOND # 63"</f>
        <v>CYBOND # 63</v>
      </c>
      <c r="H134" t="str">
        <f>"vvazquez"</f>
        <v>vvazquez</v>
      </c>
      <c r="I134" t="str">
        <f t="shared" si="24"/>
        <v>023</v>
      </c>
      <c r="J134" t="str">
        <f t="shared" si="28"/>
        <v>N</v>
      </c>
    </row>
    <row r="135" spans="1:10">
      <c r="A135" t="str">
        <f>"LE-011-02884"</f>
        <v>LE-011-02884</v>
      </c>
      <c r="B135" t="str">
        <f>"INACT"</f>
        <v>INACT</v>
      </c>
      <c r="C135" t="str">
        <f>"01"</f>
        <v>01</v>
      </c>
      <c r="D135" t="str">
        <f>"TQP01835"</f>
        <v>TQP01835</v>
      </c>
      <c r="E135" t="str">
        <f>"17887"</f>
        <v>17887</v>
      </c>
      <c r="F135" t="str">
        <f t="shared" si="23"/>
        <v>DMM2150</v>
      </c>
      <c r="G135" t="str">
        <f>"CYBONDER # 03"</f>
        <v>CYBONDER # 03</v>
      </c>
      <c r="H135" t="str">
        <f>"garaiza"</f>
        <v>garaiza</v>
      </c>
      <c r="I135" t="str">
        <f t="shared" si="24"/>
        <v>023</v>
      </c>
      <c r="J135" t="str">
        <f t="shared" si="28"/>
        <v>N</v>
      </c>
    </row>
    <row r="136" spans="1:10">
      <c r="A136" t="str">
        <f>"LE-079-00358"</f>
        <v>LE-079-00358</v>
      </c>
      <c r="B136" t="str">
        <f>"ACT"</f>
        <v>ACT</v>
      </c>
      <c r="C136" t="str">
        <f>"26"</f>
        <v>26</v>
      </c>
      <c r="D136" t="str">
        <f>"TQP00397"</f>
        <v>TQP00397</v>
      </c>
      <c r="E136" t="str">
        <f>"970307"</f>
        <v>970307</v>
      </c>
      <c r="F136" t="str">
        <f>"FX-5050"</f>
        <v>FX-5050</v>
      </c>
      <c r="G136" t="str">
        <f>"LASER WELDER  ALIGNMENT # 02"</f>
        <v>LASER WELDER  ALIGNMENT # 02</v>
      </c>
      <c r="H136" t="str">
        <f>"ecerda"</f>
        <v>ecerda</v>
      </c>
      <c r="I136" t="str">
        <f t="shared" ref="I136:I150" si="29">"078"</f>
        <v>078</v>
      </c>
      <c r="J136" t="str">
        <f t="shared" si="28"/>
        <v>N</v>
      </c>
    </row>
    <row r="137" spans="1:10">
      <c r="A137" t="str">
        <f>"LE-079-00410"</f>
        <v>LE-079-00410</v>
      </c>
      <c r="B137" t="str">
        <f>"ACT"</f>
        <v>ACT</v>
      </c>
      <c r="C137" t="str">
        <f>"36"</f>
        <v>36</v>
      </c>
      <c r="D137" t="str">
        <f>"TQP01937"</f>
        <v>TQP01937</v>
      </c>
      <c r="E137" t="str">
        <f>"000504"</f>
        <v>000504</v>
      </c>
      <c r="F137" t="str">
        <f>"FX-5090"</f>
        <v>FX-5090</v>
      </c>
      <c r="G137" t="str">
        <f>"LASER LENS WELDER DE 5 EJES"</f>
        <v>LASER LENS WELDER DE 5 EJES</v>
      </c>
      <c r="H137" t="str">
        <f>"acerecero"</f>
        <v>acerecero</v>
      </c>
      <c r="I137" t="str">
        <f t="shared" si="29"/>
        <v>078</v>
      </c>
      <c r="J137" t="str">
        <f t="shared" si="28"/>
        <v>N</v>
      </c>
    </row>
    <row r="138" spans="1:10">
      <c r="A138" t="str">
        <f>"LE-079-00392"</f>
        <v>LE-079-00392</v>
      </c>
      <c r="B138" t="str">
        <f>"ACT"</f>
        <v>ACT</v>
      </c>
      <c r="C138" t="str">
        <f>"29"</f>
        <v>29</v>
      </c>
      <c r="D138" t="str">
        <f>"TQP00413"</f>
        <v>TQP00413</v>
      </c>
      <c r="E138" t="str">
        <f>"980454"</f>
        <v>980454</v>
      </c>
      <c r="F138" t="str">
        <f>"FX-5040"</f>
        <v>FX-5040</v>
      </c>
      <c r="G138" t="str">
        <f>"LENS WELDER ALIGNMENT # 01"</f>
        <v>LENS WELDER ALIGNMENT # 01</v>
      </c>
      <c r="H138" t="str">
        <f>"acerecero"</f>
        <v>acerecero</v>
      </c>
      <c r="I138" t="str">
        <f t="shared" si="29"/>
        <v>078</v>
      </c>
      <c r="J138" t="str">
        <f t="shared" si="28"/>
        <v>N</v>
      </c>
    </row>
    <row r="139" spans="1:10">
      <c r="A139" t="str">
        <f>"LE-079-00393"</f>
        <v>LE-079-00393</v>
      </c>
      <c r="B139" t="str">
        <f>"INACT"</f>
        <v>INACT</v>
      </c>
      <c r="C139" t="str">
        <f>"04"</f>
        <v>04</v>
      </c>
      <c r="D139" t="str">
        <f>"TQP00415"</f>
        <v>TQP00415</v>
      </c>
      <c r="E139" t="str">
        <f>"980478"</f>
        <v>980478</v>
      </c>
      <c r="F139" t="str">
        <f>"FX-5040"</f>
        <v>FX-5040</v>
      </c>
      <c r="G139" t="str">
        <f>"LENS WELDER ALIGNMENT  # 02"</f>
        <v>LENS WELDER ALIGNMENT  # 02</v>
      </c>
      <c r="H139" t="str">
        <f>"gramirez"</f>
        <v>gramirez</v>
      </c>
      <c r="I139" t="str">
        <f t="shared" si="29"/>
        <v>078</v>
      </c>
      <c r="J139" t="str">
        <f t="shared" si="28"/>
        <v>N</v>
      </c>
    </row>
    <row r="140" spans="1:10">
      <c r="A140" t="str">
        <f>"LE-079-00395"</f>
        <v>LE-079-00395</v>
      </c>
      <c r="B140" t="str">
        <f t="shared" ref="B140:B145" si="30">"ACT"</f>
        <v>ACT</v>
      </c>
      <c r="C140" t="str">
        <f>"36"</f>
        <v>36</v>
      </c>
      <c r="D140" t="str">
        <f>"TQP00416"</f>
        <v>TQP00416</v>
      </c>
      <c r="E140" t="str">
        <f>"990558"</f>
        <v>990558</v>
      </c>
      <c r="F140" t="str">
        <f>"FX-5040"</f>
        <v>FX-5040</v>
      </c>
      <c r="G140" t="str">
        <f>"LENS WELD CYWELD3A002"</f>
        <v>LENS WELD CYWELD3A002</v>
      </c>
      <c r="H140" t="str">
        <f>"gramirez"</f>
        <v>gramirez</v>
      </c>
      <c r="I140" t="str">
        <f t="shared" si="29"/>
        <v>078</v>
      </c>
      <c r="J140" t="str">
        <f t="shared" si="28"/>
        <v>N</v>
      </c>
    </row>
    <row r="141" spans="1:10">
      <c r="A141" t="str">
        <f>"LE-079-00521"</f>
        <v>LE-079-00521</v>
      </c>
      <c r="B141" t="str">
        <f t="shared" si="30"/>
        <v>ACT</v>
      </c>
      <c r="C141" t="str">
        <f>"26"</f>
        <v>26</v>
      </c>
      <c r="D141" t="str">
        <f>"TQP01964"</f>
        <v>TQP01964</v>
      </c>
      <c r="E141" t="str">
        <f>"000083"</f>
        <v>000083</v>
      </c>
      <c r="F141" t="str">
        <f t="shared" ref="F141:F150" si="31">"FX-5050"</f>
        <v>FX-5050</v>
      </c>
      <c r="G141" t="str">
        <f>"LASER WELDER  ALIGNMENT  # 19"</f>
        <v>LASER WELDER  ALIGNMENT  # 19</v>
      </c>
      <c r="H141" t="str">
        <f>"acerecero"</f>
        <v>acerecero</v>
      </c>
      <c r="I141" t="str">
        <f t="shared" si="29"/>
        <v>078</v>
      </c>
      <c r="J141" t="str">
        <f t="shared" si="28"/>
        <v>N</v>
      </c>
    </row>
    <row r="142" spans="1:10">
      <c r="A142" t="str">
        <f>"LE-079-00530"</f>
        <v>LE-079-00530</v>
      </c>
      <c r="B142" t="str">
        <f t="shared" si="30"/>
        <v>ACT</v>
      </c>
      <c r="C142" t="str">
        <f>"04"</f>
        <v>04</v>
      </c>
      <c r="D142" t="str">
        <f>"TQP00417"</f>
        <v>TQP00417</v>
      </c>
      <c r="E142" t="str">
        <f>"000799"</f>
        <v>000799</v>
      </c>
      <c r="F142" t="str">
        <f t="shared" si="31"/>
        <v>FX-5050</v>
      </c>
      <c r="G142" t="str">
        <f>"LASER WELDER  ALIGNMENT  # 20"</f>
        <v>LASER WELDER  ALIGNMENT  # 20</v>
      </c>
      <c r="H142" t="str">
        <f>"acerecero"</f>
        <v>acerecero</v>
      </c>
      <c r="I142" t="str">
        <f t="shared" si="29"/>
        <v>078</v>
      </c>
      <c r="J142" t="str">
        <f t="shared" si="28"/>
        <v>N</v>
      </c>
    </row>
    <row r="143" spans="1:10">
      <c r="A143" t="str">
        <f>"LE-079-00501"</f>
        <v>LE-079-00501</v>
      </c>
      <c r="B143" t="str">
        <f t="shared" si="30"/>
        <v>ACT</v>
      </c>
      <c r="C143" t="str">
        <f>"09"</f>
        <v>09</v>
      </c>
      <c r="D143" t="str">
        <f>"TQP01844"</f>
        <v>TQP01844</v>
      </c>
      <c r="E143" t="str">
        <f>"000661"</f>
        <v>000661</v>
      </c>
      <c r="F143" t="str">
        <f t="shared" si="31"/>
        <v>FX-5050</v>
      </c>
      <c r="G143" t="str">
        <f>"LASER WELDER  ALIGNMENT  # 11"</f>
        <v>LASER WELDER  ALIGNMENT  # 11</v>
      </c>
      <c r="H143" t="str">
        <f>"acerecero"</f>
        <v>acerecero</v>
      </c>
      <c r="I143" t="str">
        <f t="shared" si="29"/>
        <v>078</v>
      </c>
      <c r="J143" t="str">
        <f t="shared" si="28"/>
        <v>N</v>
      </c>
    </row>
    <row r="144" spans="1:10">
      <c r="A144" t="str">
        <f>"LE-079-00522"</f>
        <v>LE-079-00522</v>
      </c>
      <c r="B144" t="str">
        <f t="shared" si="30"/>
        <v>ACT</v>
      </c>
      <c r="C144" t="str">
        <f>"36"</f>
        <v>36</v>
      </c>
      <c r="D144" t="str">
        <f>"TQP01847"</f>
        <v>TQP01847</v>
      </c>
      <c r="E144" t="str">
        <f>" 000684"</f>
        <v xml:space="preserve"> 000684</v>
      </c>
      <c r="F144" t="str">
        <f t="shared" si="31"/>
        <v>FX-5050</v>
      </c>
      <c r="G144" t="str">
        <f>"LASER WELDER  ALIGNMENT  # 18"</f>
        <v>LASER WELDER  ALIGNMENT  # 18</v>
      </c>
      <c r="H144" t="str">
        <f t="shared" ref="H144:H149" si="32">"ecerda"</f>
        <v>ecerda</v>
      </c>
      <c r="I144" t="str">
        <f t="shared" si="29"/>
        <v>078</v>
      </c>
      <c r="J144" t="str">
        <f t="shared" si="28"/>
        <v>N</v>
      </c>
    </row>
    <row r="145" spans="1:10">
      <c r="A145" t="str">
        <f>"LE-079-00357"</f>
        <v>LE-079-00357</v>
      </c>
      <c r="B145" t="str">
        <f t="shared" si="30"/>
        <v>ACT</v>
      </c>
      <c r="C145" t="str">
        <f>"25"</f>
        <v>25</v>
      </c>
      <c r="D145" t="str">
        <f>"TQP00403"</f>
        <v>TQP00403</v>
      </c>
      <c r="E145" t="str">
        <f>"970386"</f>
        <v>970386</v>
      </c>
      <c r="F145" t="str">
        <f t="shared" si="31"/>
        <v>FX-5050</v>
      </c>
      <c r="G145" t="str">
        <f>"LASER WELDER  ALIGNMENT  # 01"</f>
        <v>LASER WELDER  ALIGNMENT  # 01</v>
      </c>
      <c r="H145" t="str">
        <f t="shared" si="32"/>
        <v>ecerda</v>
      </c>
      <c r="I145" t="str">
        <f t="shared" si="29"/>
        <v>078</v>
      </c>
      <c r="J145" t="str">
        <f t="shared" si="28"/>
        <v>N</v>
      </c>
    </row>
    <row r="146" spans="1:10">
      <c r="A146" t="str">
        <f>"LE-079-00390"</f>
        <v>LE-079-00390</v>
      </c>
      <c r="B146" t="str">
        <f>"INACT"</f>
        <v>INACT</v>
      </c>
      <c r="C146" t="str">
        <f>"08"</f>
        <v>08</v>
      </c>
      <c r="D146" t="str">
        <f>"TQP00402"</f>
        <v>TQP00402</v>
      </c>
      <c r="E146" t="str">
        <f>"980460"</f>
        <v>980460</v>
      </c>
      <c r="F146" t="str">
        <f t="shared" si="31"/>
        <v>FX-5050</v>
      </c>
      <c r="G146" t="str">
        <f>"LASER WELDER  ALIGNMENT  # 04"</f>
        <v>LASER WELDER  ALIGNMENT  # 04</v>
      </c>
      <c r="H146" t="str">
        <f t="shared" si="32"/>
        <v>ecerda</v>
      </c>
      <c r="I146" t="str">
        <f t="shared" si="29"/>
        <v>078</v>
      </c>
      <c r="J146" t="str">
        <f t="shared" si="28"/>
        <v>N</v>
      </c>
    </row>
    <row r="147" spans="1:10">
      <c r="A147" t="str">
        <f>"LE-079-00391"</f>
        <v>LE-079-00391</v>
      </c>
      <c r="B147" t="str">
        <f t="shared" ref="B147:B176" si="33">"ACT"</f>
        <v>ACT</v>
      </c>
      <c r="C147" t="str">
        <f>"09"</f>
        <v>09</v>
      </c>
      <c r="D147" t="str">
        <f>"TQP00404"</f>
        <v>TQP00404</v>
      </c>
      <c r="E147" t="str">
        <f>"980467"</f>
        <v>980467</v>
      </c>
      <c r="F147" t="str">
        <f t="shared" si="31"/>
        <v>FX-5050</v>
      </c>
      <c r="G147" t="str">
        <f>"LASER WELDER  ALIGNMENT  # 05"</f>
        <v>LASER WELDER  ALIGNMENT  # 05</v>
      </c>
      <c r="H147" t="str">
        <f t="shared" si="32"/>
        <v>ecerda</v>
      </c>
      <c r="I147" t="str">
        <f t="shared" si="29"/>
        <v>078</v>
      </c>
      <c r="J147" t="str">
        <f t="shared" si="28"/>
        <v>N</v>
      </c>
    </row>
    <row r="148" spans="1:10">
      <c r="A148" t="str">
        <f>"0319UR57"</f>
        <v>0319UR57</v>
      </c>
      <c r="B148" t="str">
        <f t="shared" si="33"/>
        <v>ACT</v>
      </c>
      <c r="C148" t="str">
        <f>"09"</f>
        <v>09</v>
      </c>
      <c r="D148" t="str">
        <f>"TQP00405"</f>
        <v>TQP00405</v>
      </c>
      <c r="E148" t="str">
        <f>"980468"</f>
        <v>980468</v>
      </c>
      <c r="F148" t="str">
        <f t="shared" si="31"/>
        <v>FX-5050</v>
      </c>
      <c r="G148" t="str">
        <f>"LASER WELDER  ALIGNMENT # 06"</f>
        <v>LASER WELDER  ALIGNMENT # 06</v>
      </c>
      <c r="H148" t="str">
        <f t="shared" si="32"/>
        <v>ecerda</v>
      </c>
      <c r="I148" t="str">
        <f t="shared" si="29"/>
        <v>078</v>
      </c>
      <c r="J148" t="str">
        <f t="shared" si="28"/>
        <v>N</v>
      </c>
    </row>
    <row r="149" spans="1:10">
      <c r="A149" t="str">
        <f>"LE-079-00367"</f>
        <v>LE-079-00367</v>
      </c>
      <c r="B149" t="str">
        <f t="shared" si="33"/>
        <v>ACT</v>
      </c>
      <c r="C149" t="str">
        <f>"33"</f>
        <v>33</v>
      </c>
      <c r="D149" t="str">
        <f>"TQP00396"</f>
        <v>TQP00396</v>
      </c>
      <c r="E149" t="str">
        <f>"970425"</f>
        <v>970425</v>
      </c>
      <c r="F149" t="str">
        <f t="shared" si="31"/>
        <v>FX-5050</v>
      </c>
      <c r="G149" t="str">
        <f>"LASER WELDER  ALIGNMENT # 03"</f>
        <v>LASER WELDER  ALIGNMENT # 03</v>
      </c>
      <c r="H149" t="str">
        <f t="shared" si="32"/>
        <v>ecerda</v>
      </c>
      <c r="I149" t="str">
        <f t="shared" si="29"/>
        <v>078</v>
      </c>
      <c r="J149" t="str">
        <f t="shared" si="28"/>
        <v>N</v>
      </c>
    </row>
    <row r="150" spans="1:10">
      <c r="A150" t="str">
        <f>"LE-079-00529"</f>
        <v>LE-079-00529</v>
      </c>
      <c r="B150" t="str">
        <f t="shared" si="33"/>
        <v>ACT</v>
      </c>
      <c r="C150" t="str">
        <f>"09"</f>
        <v>09</v>
      </c>
      <c r="D150" t="str">
        <f>"TQP01846"</f>
        <v>TQP01846</v>
      </c>
      <c r="E150" t="str">
        <f>"000520"</f>
        <v>000520</v>
      </c>
      <c r="F150" t="str">
        <f t="shared" si="31"/>
        <v>FX-5050</v>
      </c>
      <c r="G150" t="str">
        <f>"LASER WELDER  ALIGNMENT # 21"</f>
        <v>LASER WELDER  ALIGNMENT # 21</v>
      </c>
      <c r="H150" t="str">
        <f>"acerecero"</f>
        <v>acerecero</v>
      </c>
      <c r="I150" t="str">
        <f t="shared" si="29"/>
        <v>078</v>
      </c>
      <c r="J150" t="str">
        <f t="shared" si="28"/>
        <v>N</v>
      </c>
    </row>
    <row r="151" spans="1:10">
      <c r="A151" t="str">
        <f>"0319UR44"</f>
        <v>0319UR44</v>
      </c>
      <c r="B151" t="str">
        <f t="shared" si="33"/>
        <v>ACT</v>
      </c>
      <c r="C151" t="str">
        <f t="shared" ref="C151:C163" si="34">"13"</f>
        <v>13</v>
      </c>
      <c r="D151" t="str">
        <f>"TQP09591"</f>
        <v>TQP09591</v>
      </c>
      <c r="E151" t="str">
        <f t="shared" ref="E151:F155" si="35">"N/A"</f>
        <v>N/A</v>
      </c>
      <c r="F151" t="str">
        <f t="shared" si="35"/>
        <v>N/A</v>
      </c>
      <c r="G151" t="str">
        <f t="shared" ref="G151:G163" si="36">"DRY BOX"</f>
        <v>DRY BOX</v>
      </c>
      <c r="H151" t="str">
        <f t="shared" ref="H151:H163" si="37">"rramones"</f>
        <v>rramones</v>
      </c>
      <c r="I151" t="str">
        <f t="shared" ref="I151:I163" si="38">"082"</f>
        <v>082</v>
      </c>
      <c r="J151" t="str">
        <f t="shared" si="28"/>
        <v>N</v>
      </c>
    </row>
    <row r="152" spans="1:10">
      <c r="A152" t="str">
        <f>"0425OS00"</f>
        <v>0425OS00</v>
      </c>
      <c r="B152" t="str">
        <f t="shared" si="33"/>
        <v>ACT</v>
      </c>
      <c r="C152" t="str">
        <f t="shared" si="34"/>
        <v>13</v>
      </c>
      <c r="D152" t="str">
        <f>"TQP09591"</f>
        <v>TQP09591</v>
      </c>
      <c r="E152" t="str">
        <f t="shared" si="35"/>
        <v>N/A</v>
      </c>
      <c r="F152" t="str">
        <f t="shared" si="35"/>
        <v>N/A</v>
      </c>
      <c r="G152" t="str">
        <f t="shared" si="36"/>
        <v>DRY BOX</v>
      </c>
      <c r="H152" t="str">
        <f t="shared" si="37"/>
        <v>rramones</v>
      </c>
      <c r="I152" t="str">
        <f t="shared" si="38"/>
        <v>082</v>
      </c>
      <c r="J152" t="str">
        <f t="shared" si="28"/>
        <v>N</v>
      </c>
    </row>
    <row r="153" spans="1:10">
      <c r="A153" t="str">
        <f>"0425OS01"</f>
        <v>0425OS01</v>
      </c>
      <c r="B153" t="str">
        <f t="shared" si="33"/>
        <v>ACT</v>
      </c>
      <c r="C153" t="str">
        <f t="shared" si="34"/>
        <v>13</v>
      </c>
      <c r="D153" t="str">
        <f>"TQP09491"</f>
        <v>TQP09491</v>
      </c>
      <c r="E153" t="str">
        <f t="shared" si="35"/>
        <v>N/A</v>
      </c>
      <c r="F153" t="str">
        <f t="shared" si="35"/>
        <v>N/A</v>
      </c>
      <c r="G153" t="str">
        <f t="shared" si="36"/>
        <v>DRY BOX</v>
      </c>
      <c r="H153" t="str">
        <f t="shared" si="37"/>
        <v>rramones</v>
      </c>
      <c r="I153" t="str">
        <f t="shared" si="38"/>
        <v>082</v>
      </c>
      <c r="J153" t="str">
        <f t="shared" si="28"/>
        <v>N</v>
      </c>
    </row>
    <row r="154" spans="1:10">
      <c r="A154" t="str">
        <f>"0425OS02"</f>
        <v>0425OS02</v>
      </c>
      <c r="B154" t="str">
        <f t="shared" si="33"/>
        <v>ACT</v>
      </c>
      <c r="C154" t="str">
        <f t="shared" si="34"/>
        <v>13</v>
      </c>
      <c r="D154" t="str">
        <f>"TQP09491"</f>
        <v>TQP09491</v>
      </c>
      <c r="E154" t="str">
        <f t="shared" si="35"/>
        <v>N/A</v>
      </c>
      <c r="F154" t="str">
        <f t="shared" si="35"/>
        <v>N/A</v>
      </c>
      <c r="G154" t="str">
        <f t="shared" si="36"/>
        <v>DRY BOX</v>
      </c>
      <c r="H154" t="str">
        <f t="shared" si="37"/>
        <v>rramones</v>
      </c>
      <c r="I154" t="str">
        <f t="shared" si="38"/>
        <v>082</v>
      </c>
      <c r="J154" t="str">
        <f t="shared" si="28"/>
        <v>N</v>
      </c>
    </row>
    <row r="155" spans="1:10">
      <c r="A155" t="str">
        <f>"0425OS03"</f>
        <v>0425OS03</v>
      </c>
      <c r="B155" t="str">
        <f t="shared" si="33"/>
        <v>ACT</v>
      </c>
      <c r="C155" t="str">
        <f t="shared" si="34"/>
        <v>13</v>
      </c>
      <c r="D155" t="str">
        <f>"TQP09490"</f>
        <v>TQP09490</v>
      </c>
      <c r="E155" t="str">
        <f t="shared" si="35"/>
        <v>N/A</v>
      </c>
      <c r="F155" t="str">
        <f t="shared" si="35"/>
        <v>N/A</v>
      </c>
      <c r="G155" t="str">
        <f t="shared" si="36"/>
        <v>DRY BOX</v>
      </c>
      <c r="H155" t="str">
        <f t="shared" si="37"/>
        <v>rramones</v>
      </c>
      <c r="I155" t="str">
        <f t="shared" si="38"/>
        <v>082</v>
      </c>
      <c r="J155" t="str">
        <f t="shared" si="28"/>
        <v>N</v>
      </c>
    </row>
    <row r="156" spans="1:10">
      <c r="A156" t="str">
        <f>"LE-053-02038"</f>
        <v>LE-053-02038</v>
      </c>
      <c r="B156" t="str">
        <f t="shared" si="33"/>
        <v>ACT</v>
      </c>
      <c r="C156" t="str">
        <f t="shared" si="34"/>
        <v>13</v>
      </c>
      <c r="D156" t="str">
        <f>"TQP09594"</f>
        <v>TQP09594</v>
      </c>
      <c r="E156" t="str">
        <f>"L5597"</f>
        <v>L5597</v>
      </c>
      <c r="F156" t="str">
        <f t="shared" ref="F156:F163" si="39">"N/A"</f>
        <v>N/A</v>
      </c>
      <c r="G156" t="str">
        <f t="shared" si="36"/>
        <v>DRY BOX</v>
      </c>
      <c r="H156" t="str">
        <f t="shared" si="37"/>
        <v>rramones</v>
      </c>
      <c r="I156" t="str">
        <f t="shared" si="38"/>
        <v>082</v>
      </c>
      <c r="J156" t="str">
        <f t="shared" si="28"/>
        <v>N</v>
      </c>
    </row>
    <row r="157" spans="1:10">
      <c r="A157" t="str">
        <f>"LE-053-02039"</f>
        <v>LE-053-02039</v>
      </c>
      <c r="B157" t="str">
        <f t="shared" si="33"/>
        <v>ACT</v>
      </c>
      <c r="C157" t="str">
        <f t="shared" si="34"/>
        <v>13</v>
      </c>
      <c r="D157" t="str">
        <f>"TQP09594"</f>
        <v>TQP09594</v>
      </c>
      <c r="E157" t="str">
        <f t="shared" ref="E157:E171" si="40">"N/A"</f>
        <v>N/A</v>
      </c>
      <c r="F157" t="str">
        <f t="shared" si="39"/>
        <v>N/A</v>
      </c>
      <c r="G157" t="str">
        <f t="shared" si="36"/>
        <v>DRY BOX</v>
      </c>
      <c r="H157" t="str">
        <f t="shared" si="37"/>
        <v>rramones</v>
      </c>
      <c r="I157" t="str">
        <f t="shared" si="38"/>
        <v>082</v>
      </c>
      <c r="J157" t="str">
        <f t="shared" si="28"/>
        <v>N</v>
      </c>
    </row>
    <row r="158" spans="1:10">
      <c r="A158" t="str">
        <f>"LE-053-02249"</f>
        <v>LE-053-02249</v>
      </c>
      <c r="B158" t="str">
        <f t="shared" si="33"/>
        <v>ACT</v>
      </c>
      <c r="C158" t="str">
        <f t="shared" si="34"/>
        <v>13</v>
      </c>
      <c r="D158" t="str">
        <f>"TQP09326"</f>
        <v>TQP09326</v>
      </c>
      <c r="E158" t="str">
        <f t="shared" si="40"/>
        <v>N/A</v>
      </c>
      <c r="F158" t="str">
        <f t="shared" si="39"/>
        <v>N/A</v>
      </c>
      <c r="G158" t="str">
        <f t="shared" si="36"/>
        <v>DRY BOX</v>
      </c>
      <c r="H158" t="str">
        <f t="shared" si="37"/>
        <v>rramones</v>
      </c>
      <c r="I158" t="str">
        <f t="shared" si="38"/>
        <v>082</v>
      </c>
      <c r="J158" t="str">
        <f t="shared" si="28"/>
        <v>N</v>
      </c>
    </row>
    <row r="159" spans="1:10">
      <c r="A159" t="str">
        <f>"LE-053-02288"</f>
        <v>LE-053-02288</v>
      </c>
      <c r="B159" t="str">
        <f t="shared" si="33"/>
        <v>ACT</v>
      </c>
      <c r="C159" t="str">
        <f t="shared" si="34"/>
        <v>13</v>
      </c>
      <c r="D159" t="str">
        <f>"TQP09326"</f>
        <v>TQP09326</v>
      </c>
      <c r="E159" t="str">
        <f t="shared" si="40"/>
        <v>N/A</v>
      </c>
      <c r="F159" t="str">
        <f t="shared" si="39"/>
        <v>N/A</v>
      </c>
      <c r="G159" t="str">
        <f t="shared" si="36"/>
        <v>DRY BOX</v>
      </c>
      <c r="H159" t="str">
        <f t="shared" si="37"/>
        <v>rramones</v>
      </c>
      <c r="I159" t="str">
        <f t="shared" si="38"/>
        <v>082</v>
      </c>
      <c r="J159" t="str">
        <f t="shared" si="28"/>
        <v>N</v>
      </c>
    </row>
    <row r="160" spans="1:10">
      <c r="A160" t="str">
        <f>"LE-053-02516"</f>
        <v>LE-053-02516</v>
      </c>
      <c r="B160" t="str">
        <f t="shared" si="33"/>
        <v>ACT</v>
      </c>
      <c r="C160" t="str">
        <f t="shared" si="34"/>
        <v>13</v>
      </c>
      <c r="D160" t="str">
        <f>"TQP09492"</f>
        <v>TQP09492</v>
      </c>
      <c r="E160" t="str">
        <f t="shared" si="40"/>
        <v>N/A</v>
      </c>
      <c r="F160" t="str">
        <f t="shared" si="39"/>
        <v>N/A</v>
      </c>
      <c r="G160" t="str">
        <f t="shared" si="36"/>
        <v>DRY BOX</v>
      </c>
      <c r="H160" t="str">
        <f t="shared" si="37"/>
        <v>rramones</v>
      </c>
      <c r="I160" t="str">
        <f t="shared" si="38"/>
        <v>082</v>
      </c>
      <c r="J160" t="str">
        <f t="shared" si="28"/>
        <v>N</v>
      </c>
    </row>
    <row r="161" spans="1:10">
      <c r="A161" t="str">
        <f>"LE-053-02517"</f>
        <v>LE-053-02517</v>
      </c>
      <c r="B161" t="str">
        <f t="shared" si="33"/>
        <v>ACT</v>
      </c>
      <c r="C161" t="str">
        <f t="shared" si="34"/>
        <v>13</v>
      </c>
      <c r="D161" t="str">
        <f>"TQP09492"</f>
        <v>TQP09492</v>
      </c>
      <c r="E161" t="str">
        <f t="shared" si="40"/>
        <v>N/A</v>
      </c>
      <c r="F161" t="str">
        <f t="shared" si="39"/>
        <v>N/A</v>
      </c>
      <c r="G161" t="str">
        <f t="shared" si="36"/>
        <v>DRY BOX</v>
      </c>
      <c r="H161" t="str">
        <f t="shared" si="37"/>
        <v>rramones</v>
      </c>
      <c r="I161" t="str">
        <f t="shared" si="38"/>
        <v>082</v>
      </c>
      <c r="J161" t="str">
        <f t="shared" si="28"/>
        <v>N</v>
      </c>
    </row>
    <row r="162" spans="1:10">
      <c r="A162" t="str">
        <f>"LE-053-02569"</f>
        <v>LE-053-02569</v>
      </c>
      <c r="B162" t="str">
        <f t="shared" si="33"/>
        <v>ACT</v>
      </c>
      <c r="C162" t="str">
        <f t="shared" si="34"/>
        <v>13</v>
      </c>
      <c r="D162" t="str">
        <f>"TQP09325"</f>
        <v>TQP09325</v>
      </c>
      <c r="E162" t="str">
        <f t="shared" si="40"/>
        <v>N/A</v>
      </c>
      <c r="F162" t="str">
        <f t="shared" si="39"/>
        <v>N/A</v>
      </c>
      <c r="G162" t="str">
        <f t="shared" si="36"/>
        <v>DRY BOX</v>
      </c>
      <c r="H162" t="str">
        <f t="shared" si="37"/>
        <v>rramones</v>
      </c>
      <c r="I162" t="str">
        <f t="shared" si="38"/>
        <v>082</v>
      </c>
      <c r="J162" t="str">
        <f t="shared" si="28"/>
        <v>N</v>
      </c>
    </row>
    <row r="163" spans="1:10">
      <c r="A163" t="str">
        <f>"LE-085-02632"</f>
        <v>LE-085-02632</v>
      </c>
      <c r="B163" t="str">
        <f t="shared" si="33"/>
        <v>ACT</v>
      </c>
      <c r="C163" t="str">
        <f t="shared" si="34"/>
        <v>13</v>
      </c>
      <c r="D163" t="str">
        <f t="shared" ref="D163:D173" si="41">"N/A"</f>
        <v>N/A</v>
      </c>
      <c r="E163" t="str">
        <f t="shared" si="40"/>
        <v>N/A</v>
      </c>
      <c r="F163" t="str">
        <f t="shared" si="39"/>
        <v>N/A</v>
      </c>
      <c r="G163" t="str">
        <f t="shared" si="36"/>
        <v>DRY BOX</v>
      </c>
      <c r="H163" t="str">
        <f t="shared" si="37"/>
        <v>rramones</v>
      </c>
      <c r="I163" t="str">
        <f t="shared" si="38"/>
        <v>082</v>
      </c>
      <c r="J163" t="str">
        <f t="shared" si="28"/>
        <v>N</v>
      </c>
    </row>
    <row r="164" spans="1:10">
      <c r="A164" t="str">
        <f>"0544UR09"</f>
        <v>0544UR09</v>
      </c>
      <c r="B164" t="str">
        <f t="shared" si="33"/>
        <v>ACT</v>
      </c>
      <c r="C164" t="str">
        <f t="shared" ref="C164:C173" si="42">"08"</f>
        <v>08</v>
      </c>
      <c r="D164" t="str">
        <f t="shared" si="41"/>
        <v>N/A</v>
      </c>
      <c r="E164" t="str">
        <f t="shared" si="40"/>
        <v>N/A</v>
      </c>
      <c r="F164" t="str">
        <f>"1 LP  500    2"</f>
        <v>1 LP  500    2</v>
      </c>
      <c r="G164" t="str">
        <f>"PRESS  # 04  1.20MM P172 GILL WING"</f>
        <v>PRESS  # 04  1.20MM P172 GILL WING</v>
      </c>
      <c r="H164" t="str">
        <f t="shared" ref="H164:H173" si="43">"jnieto"</f>
        <v>jnieto</v>
      </c>
      <c r="I164" t="str">
        <f>"081"</f>
        <v>081</v>
      </c>
      <c r="J164" t="str">
        <f t="shared" si="28"/>
        <v>N</v>
      </c>
    </row>
    <row r="165" spans="1:10">
      <c r="A165" t="str">
        <f>"0544UR10"</f>
        <v>0544UR10</v>
      </c>
      <c r="B165" t="str">
        <f t="shared" si="33"/>
        <v>ACT</v>
      </c>
      <c r="C165" t="str">
        <f t="shared" si="42"/>
        <v>08</v>
      </c>
      <c r="D165" t="str">
        <f t="shared" si="41"/>
        <v>N/A</v>
      </c>
      <c r="E165" t="str">
        <f t="shared" si="40"/>
        <v>N/A</v>
      </c>
      <c r="F165" t="str">
        <f>"1 LP  500    2"</f>
        <v>1 LP  500    2</v>
      </c>
      <c r="G165" t="str">
        <f>"PRESS  # 02  4.20MM UPAK GULL WING"</f>
        <v>PRESS  # 02  4.20MM UPAK GULL WING</v>
      </c>
      <c r="H165" t="str">
        <f t="shared" si="43"/>
        <v>jnieto</v>
      </c>
      <c r="I165" t="str">
        <f>"081"</f>
        <v>081</v>
      </c>
      <c r="J165" t="str">
        <f t="shared" ref="J165:J196" si="44">"N"</f>
        <v>N</v>
      </c>
    </row>
    <row r="166" spans="1:10">
      <c r="A166" t="str">
        <f>"0544UR11"</f>
        <v>0544UR11</v>
      </c>
      <c r="B166" t="str">
        <f t="shared" si="33"/>
        <v>ACT</v>
      </c>
      <c r="C166" t="str">
        <f t="shared" si="42"/>
        <v>08</v>
      </c>
      <c r="D166" t="str">
        <f t="shared" si="41"/>
        <v>N/A</v>
      </c>
      <c r="E166" t="str">
        <f t="shared" si="40"/>
        <v>N/A</v>
      </c>
      <c r="F166" t="str">
        <f>"1 LP  500    2"</f>
        <v>1 LP  500    2</v>
      </c>
      <c r="G166" t="str">
        <f>"PRESS  # 01 CENTER LESO TRIM"</f>
        <v>PRESS  # 01 CENTER LESO TRIM</v>
      </c>
      <c r="H166" t="str">
        <f t="shared" si="43"/>
        <v>jnieto</v>
      </c>
      <c r="I166" t="str">
        <f>"081"</f>
        <v>081</v>
      </c>
      <c r="J166" t="str">
        <f t="shared" si="44"/>
        <v>N</v>
      </c>
    </row>
    <row r="167" spans="1:10">
      <c r="A167" t="str">
        <f>"0319UR194"</f>
        <v>0319UR194</v>
      </c>
      <c r="B167" t="str">
        <f t="shared" si="33"/>
        <v>ACT</v>
      </c>
      <c r="C167" t="str">
        <f t="shared" si="42"/>
        <v>08</v>
      </c>
      <c r="D167" t="str">
        <f t="shared" si="41"/>
        <v>N/A</v>
      </c>
      <c r="E167" t="str">
        <f t="shared" si="40"/>
        <v>N/A</v>
      </c>
      <c r="F167" t="str">
        <f>"N/A"</f>
        <v>N/A</v>
      </c>
      <c r="G167" t="str">
        <f>"PRESS  # 03 UPACK SPECIAL GULL WING"</f>
        <v>PRESS  # 03 UPACK SPECIAL GULL WING</v>
      </c>
      <c r="H167" t="str">
        <f t="shared" si="43"/>
        <v>jnieto</v>
      </c>
      <c r="I167" t="str">
        <f>"081"</f>
        <v>081</v>
      </c>
      <c r="J167" t="str">
        <f t="shared" si="44"/>
        <v>N</v>
      </c>
    </row>
    <row r="168" spans="1:10">
      <c r="A168" t="str">
        <f>"0319UR162"</f>
        <v>0319UR162</v>
      </c>
      <c r="B168" t="str">
        <f t="shared" si="33"/>
        <v>ACT</v>
      </c>
      <c r="C168" t="str">
        <f t="shared" si="42"/>
        <v>08</v>
      </c>
      <c r="D168" t="str">
        <f t="shared" si="41"/>
        <v>N/A</v>
      </c>
      <c r="E168" t="str">
        <f t="shared" si="40"/>
        <v>N/A</v>
      </c>
      <c r="F168" t="str">
        <f>"FA 3912"</f>
        <v>FA 3912</v>
      </c>
      <c r="G168" t="str">
        <f>"LEAD SHEAR  # 03"</f>
        <v>LEAD SHEAR  # 03</v>
      </c>
      <c r="H168" t="str">
        <f t="shared" si="43"/>
        <v>jnieto</v>
      </c>
      <c r="I168" t="str">
        <f>"083"</f>
        <v>083</v>
      </c>
      <c r="J168" t="str">
        <f t="shared" si="44"/>
        <v>N</v>
      </c>
    </row>
    <row r="169" spans="1:10">
      <c r="A169" t="str">
        <f>"0319UR163"</f>
        <v>0319UR163</v>
      </c>
      <c r="B169" t="str">
        <f t="shared" si="33"/>
        <v>ACT</v>
      </c>
      <c r="C169" t="str">
        <f t="shared" si="42"/>
        <v>08</v>
      </c>
      <c r="D169" t="str">
        <f t="shared" si="41"/>
        <v>N/A</v>
      </c>
      <c r="E169" t="str">
        <f t="shared" si="40"/>
        <v>N/A</v>
      </c>
      <c r="F169" t="str">
        <f>"FA 3907"</f>
        <v>FA 3907</v>
      </c>
      <c r="G169" t="str">
        <f>"LEAD SHEAR  # 01"</f>
        <v>LEAD SHEAR  # 01</v>
      </c>
      <c r="H169" t="str">
        <f t="shared" si="43"/>
        <v>jnieto</v>
      </c>
      <c r="I169" t="str">
        <f>"083"</f>
        <v>083</v>
      </c>
      <c r="J169" t="str">
        <f t="shared" si="44"/>
        <v>N</v>
      </c>
    </row>
    <row r="170" spans="1:10">
      <c r="A170" t="str">
        <f>"0319UR164"</f>
        <v>0319UR164</v>
      </c>
      <c r="B170" t="str">
        <f t="shared" si="33"/>
        <v>ACT</v>
      </c>
      <c r="C170" t="str">
        <f t="shared" si="42"/>
        <v>08</v>
      </c>
      <c r="D170" t="str">
        <f t="shared" si="41"/>
        <v>N/A</v>
      </c>
      <c r="E170" t="str">
        <f t="shared" si="40"/>
        <v>N/A</v>
      </c>
      <c r="F170" t="str">
        <f>"FA 3911"</f>
        <v>FA 3911</v>
      </c>
      <c r="G170" t="str">
        <f>"LEAD SHEAR  # 05"</f>
        <v>LEAD SHEAR  # 05</v>
      </c>
      <c r="H170" t="str">
        <f t="shared" si="43"/>
        <v>jnieto</v>
      </c>
      <c r="I170" t="str">
        <f>"083"</f>
        <v>083</v>
      </c>
      <c r="J170" t="str">
        <f t="shared" si="44"/>
        <v>N</v>
      </c>
    </row>
    <row r="171" spans="1:10">
      <c r="A171" t="str">
        <f>"0319UR165"</f>
        <v>0319UR165</v>
      </c>
      <c r="B171" t="str">
        <f t="shared" si="33"/>
        <v>ACT</v>
      </c>
      <c r="C171" t="str">
        <f t="shared" si="42"/>
        <v>08</v>
      </c>
      <c r="D171" t="str">
        <f t="shared" si="41"/>
        <v>N/A</v>
      </c>
      <c r="E171" t="str">
        <f t="shared" si="40"/>
        <v>N/A</v>
      </c>
      <c r="F171" t="str">
        <f>"FA 3910"</f>
        <v>FA 3910</v>
      </c>
      <c r="G171" t="str">
        <f>"LEAD SHEAR  # 02"</f>
        <v>LEAD SHEAR  # 02</v>
      </c>
      <c r="H171" t="str">
        <f t="shared" si="43"/>
        <v>jnieto</v>
      </c>
      <c r="I171" t="str">
        <f>"083"</f>
        <v>083</v>
      </c>
      <c r="J171" t="str">
        <f t="shared" si="44"/>
        <v>N</v>
      </c>
    </row>
    <row r="172" spans="1:10">
      <c r="A172" t="str">
        <f>"0319UR173"</f>
        <v>0319UR173</v>
      </c>
      <c r="B172" t="str">
        <f t="shared" si="33"/>
        <v>ACT</v>
      </c>
      <c r="C172" t="str">
        <f t="shared" si="42"/>
        <v>08</v>
      </c>
      <c r="D172" t="str">
        <f t="shared" si="41"/>
        <v>N/A</v>
      </c>
      <c r="E172" t="str">
        <f>"MMI-6177"</f>
        <v>MMI-6177</v>
      </c>
      <c r="F172" t="str">
        <f>"RLC-12"</f>
        <v>RLC-12</v>
      </c>
      <c r="G172" t="str">
        <f>"LEAD SHEAR  # 06"</f>
        <v>LEAD SHEAR  # 06</v>
      </c>
      <c r="H172" t="str">
        <f t="shared" si="43"/>
        <v>jnieto</v>
      </c>
      <c r="I172" t="str">
        <f>"047"</f>
        <v>047</v>
      </c>
      <c r="J172" t="str">
        <f t="shared" si="44"/>
        <v>N</v>
      </c>
    </row>
    <row r="173" spans="1:10">
      <c r="A173" t="str">
        <f>"0340UR00"</f>
        <v>0340UR00</v>
      </c>
      <c r="B173" t="str">
        <f t="shared" si="33"/>
        <v>ACT</v>
      </c>
      <c r="C173" t="str">
        <f t="shared" si="42"/>
        <v>08</v>
      </c>
      <c r="D173" t="str">
        <f t="shared" si="41"/>
        <v>N/A</v>
      </c>
      <c r="E173" t="str">
        <f>"N/A"</f>
        <v>N/A</v>
      </c>
      <c r="F173" t="str">
        <f>"FA 3908"</f>
        <v>FA 3908</v>
      </c>
      <c r="G173" t="str">
        <f>"LEAD SHEAR  # 04"</f>
        <v>LEAD SHEAR  # 04</v>
      </c>
      <c r="H173" t="str">
        <f t="shared" si="43"/>
        <v>jnieto</v>
      </c>
      <c r="I173" t="str">
        <f>"083"</f>
        <v>083</v>
      </c>
      <c r="J173" t="str">
        <f t="shared" si="44"/>
        <v>N</v>
      </c>
    </row>
    <row r="174" spans="1:10">
      <c r="A174" t="str">
        <f>"0442FR01"</f>
        <v>0442FR01</v>
      </c>
      <c r="B174" t="str">
        <f t="shared" si="33"/>
        <v>ACT</v>
      </c>
      <c r="C174" t="str">
        <f>"05"</f>
        <v>05</v>
      </c>
      <c r="D174" t="str">
        <f>"TQP00041"</f>
        <v>TQP00041</v>
      </c>
      <c r="E174" t="str">
        <f>"22"</f>
        <v>22</v>
      </c>
      <c r="F174" t="str">
        <f>"HDC-140894036L"</f>
        <v>HDC-140894036L</v>
      </c>
      <c r="G174" t="str">
        <f>"AMP POLISHING MACHINE"</f>
        <v>AMP POLISHING MACHINE</v>
      </c>
      <c r="H174" t="str">
        <f>"jcastaneda"</f>
        <v>jcastaneda</v>
      </c>
      <c r="I174" t="str">
        <f>"025"</f>
        <v>025</v>
      </c>
      <c r="J174" t="str">
        <f t="shared" si="44"/>
        <v>N</v>
      </c>
    </row>
    <row r="175" spans="1:10">
      <c r="A175" t="str">
        <f>"0442FR03"</f>
        <v>0442FR03</v>
      </c>
      <c r="B175" t="str">
        <f t="shared" si="33"/>
        <v>ACT</v>
      </c>
      <c r="C175" t="str">
        <f>"05"</f>
        <v>05</v>
      </c>
      <c r="D175" t="str">
        <f>"TQP01600"</f>
        <v>TQP01600</v>
      </c>
      <c r="E175" t="str">
        <f>"244H9980"</f>
        <v>244H9980</v>
      </c>
      <c r="F175" t="str">
        <f>"HDC 4000"</f>
        <v>HDC 4000</v>
      </c>
      <c r="G175" t="str">
        <f>"AMP POLISHING MACHINE"</f>
        <v>AMP POLISHING MACHINE</v>
      </c>
      <c r="H175" t="str">
        <f>"jcastaneda"</f>
        <v>jcastaneda</v>
      </c>
      <c r="I175" t="str">
        <f>"025"</f>
        <v>025</v>
      </c>
      <c r="J175" t="str">
        <f t="shared" si="44"/>
        <v>N</v>
      </c>
    </row>
    <row r="176" spans="1:10">
      <c r="A176" t="str">
        <f>"LE-010-28552"</f>
        <v>LE-010-28552</v>
      </c>
      <c r="B176" t="str">
        <f t="shared" si="33"/>
        <v>ACT</v>
      </c>
      <c r="C176" t="str">
        <f>"18"</f>
        <v>18</v>
      </c>
      <c r="D176" t="str">
        <f t="shared" ref="D176:F179" si="45">"N/A"</f>
        <v>N/A</v>
      </c>
      <c r="E176" t="str">
        <f t="shared" si="45"/>
        <v>N/A</v>
      </c>
      <c r="F176" t="str">
        <f t="shared" si="45"/>
        <v>N/A</v>
      </c>
      <c r="G176" t="str">
        <f>"RACK # 1"</f>
        <v>RACK # 1</v>
      </c>
      <c r="H176" t="str">
        <f>"jnieto"</f>
        <v>jnieto</v>
      </c>
      <c r="I176" t="str">
        <f t="shared" ref="I176:I182" si="46">"081"</f>
        <v>081</v>
      </c>
      <c r="J176" t="str">
        <f t="shared" si="44"/>
        <v>N</v>
      </c>
    </row>
    <row r="177" spans="1:10">
      <c r="A177" t="str">
        <f>"LE-010-28553"</f>
        <v>LE-010-28553</v>
      </c>
      <c r="B177" t="str">
        <f>"INACT"</f>
        <v>INACT</v>
      </c>
      <c r="C177" t="str">
        <f>"12"</f>
        <v>12</v>
      </c>
      <c r="D177" t="str">
        <f t="shared" si="45"/>
        <v>N/A</v>
      </c>
      <c r="E177" t="str">
        <f t="shared" si="45"/>
        <v>N/A</v>
      </c>
      <c r="F177" t="str">
        <f t="shared" si="45"/>
        <v>N/A</v>
      </c>
      <c r="G177" t="str">
        <f>"RACK # 2"</f>
        <v>RACK # 2</v>
      </c>
      <c r="H177" t="str">
        <f>"jnieto"</f>
        <v>jnieto</v>
      </c>
      <c r="I177" t="str">
        <f t="shared" si="46"/>
        <v>081</v>
      </c>
      <c r="J177" t="str">
        <f t="shared" si="44"/>
        <v>N</v>
      </c>
    </row>
    <row r="178" spans="1:10">
      <c r="A178" t="str">
        <f>"LE-010-28554"</f>
        <v>LE-010-28554</v>
      </c>
      <c r="B178" t="str">
        <f>"INACT"</f>
        <v>INACT</v>
      </c>
      <c r="C178" t="str">
        <f>"19"</f>
        <v>19</v>
      </c>
      <c r="D178" t="str">
        <f t="shared" si="45"/>
        <v>N/A</v>
      </c>
      <c r="E178" t="str">
        <f t="shared" si="45"/>
        <v>N/A</v>
      </c>
      <c r="F178" t="str">
        <f t="shared" si="45"/>
        <v>N/A</v>
      </c>
      <c r="G178" t="str">
        <f>"RACK # 3"</f>
        <v>RACK # 3</v>
      </c>
      <c r="H178" t="str">
        <f>"jnieto"</f>
        <v>jnieto</v>
      </c>
      <c r="I178" t="str">
        <f t="shared" si="46"/>
        <v>081</v>
      </c>
      <c r="J178" t="str">
        <f t="shared" si="44"/>
        <v>N</v>
      </c>
    </row>
    <row r="179" spans="1:10">
      <c r="A179" t="str">
        <f>"LE-001-05305"</f>
        <v>LE-001-05305</v>
      </c>
      <c r="B179" t="str">
        <f>"INACT"</f>
        <v>INACT</v>
      </c>
      <c r="C179" t="str">
        <f>"19"</f>
        <v>19</v>
      </c>
      <c r="D179" t="str">
        <f t="shared" si="45"/>
        <v>N/A</v>
      </c>
      <c r="E179" t="str">
        <f t="shared" si="45"/>
        <v>N/A</v>
      </c>
      <c r="F179" t="str">
        <f t="shared" si="45"/>
        <v>N/A</v>
      </c>
      <c r="G179" t="str">
        <f>"MTT TEST SET  # 2"</f>
        <v>MTT TEST SET  # 2</v>
      </c>
      <c r="H179" t="str">
        <f>"jnieto"</f>
        <v>jnieto</v>
      </c>
      <c r="I179" t="str">
        <f t="shared" si="46"/>
        <v>081</v>
      </c>
      <c r="J179" t="str">
        <f t="shared" si="44"/>
        <v>N</v>
      </c>
    </row>
    <row r="180" spans="1:10">
      <c r="A180" t="str">
        <f>"LE-001-05143"</f>
        <v>LE-001-05143</v>
      </c>
      <c r="B180" t="str">
        <f>"ACT"</f>
        <v>ACT</v>
      </c>
      <c r="C180" t="str">
        <f>"29"</f>
        <v>29</v>
      </c>
      <c r="D180" t="str">
        <f>"TQP01636"</f>
        <v>TQP01636</v>
      </c>
      <c r="E180" t="str">
        <f t="shared" ref="E180:F182" si="47">"N/A"</f>
        <v>N/A</v>
      </c>
      <c r="F180" t="str">
        <f t="shared" si="47"/>
        <v>N/A</v>
      </c>
      <c r="G180" t="str">
        <f>"10 GB FUNCIONAL TEST SET"</f>
        <v>10 GB FUNCIONAL TEST SET</v>
      </c>
      <c r="H180" t="str">
        <f>"jtongo"</f>
        <v>jtongo</v>
      </c>
      <c r="I180" t="str">
        <f t="shared" si="46"/>
        <v>081</v>
      </c>
      <c r="J180" t="str">
        <f t="shared" si="44"/>
        <v>N</v>
      </c>
    </row>
    <row r="181" spans="1:10">
      <c r="A181" t="str">
        <f>"0320UR04"</f>
        <v>0320UR04</v>
      </c>
      <c r="B181" t="str">
        <f>"ACT"</f>
        <v>ACT</v>
      </c>
      <c r="C181" t="str">
        <f>"08"</f>
        <v>08</v>
      </c>
      <c r="D181" t="str">
        <f>"N/A"</f>
        <v>N/A</v>
      </c>
      <c r="E181" t="str">
        <f t="shared" si="47"/>
        <v>N/A</v>
      </c>
      <c r="F181" t="str">
        <f t="shared" si="47"/>
        <v>N/A</v>
      </c>
      <c r="G181" t="str">
        <f>"TEST SET RACK RPAK # 5"</f>
        <v>TEST SET RACK RPAK # 5</v>
      </c>
      <c r="H181" t="str">
        <f>"jhernandez"</f>
        <v>jhernandez</v>
      </c>
      <c r="I181" t="str">
        <f t="shared" si="46"/>
        <v>081</v>
      </c>
      <c r="J181" t="str">
        <f t="shared" si="44"/>
        <v>N</v>
      </c>
    </row>
    <row r="182" spans="1:10">
      <c r="A182" t="str">
        <f>"0533NT15"</f>
        <v>0533NT15</v>
      </c>
      <c r="B182" t="str">
        <f>"ACT"</f>
        <v>ACT</v>
      </c>
      <c r="C182" t="str">
        <f>"09"</f>
        <v>09</v>
      </c>
      <c r="D182" t="str">
        <f>"N/A"</f>
        <v>N/A</v>
      </c>
      <c r="E182" t="str">
        <f t="shared" si="47"/>
        <v>N/A</v>
      </c>
      <c r="F182" t="str">
        <f t="shared" si="47"/>
        <v>N/A</v>
      </c>
      <c r="G182" t="s">
        <v>0</v>
      </c>
      <c r="H182" t="str">
        <f>"eromero"</f>
        <v>eromero</v>
      </c>
      <c r="I182" t="str">
        <f t="shared" si="46"/>
        <v>081</v>
      </c>
      <c r="J182" t="str">
        <f t="shared" si="44"/>
        <v>N</v>
      </c>
    </row>
    <row r="183" spans="1:10">
      <c r="A183" t="str">
        <f>"LE-052-00224"</f>
        <v>LE-052-00224</v>
      </c>
      <c r="B183" t="str">
        <f>"INACT"</f>
        <v>INACT</v>
      </c>
      <c r="C183" t="str">
        <f>"11"</f>
        <v>11</v>
      </c>
      <c r="D183" t="str">
        <f>"TQP00958"</f>
        <v>TQP00958</v>
      </c>
      <c r="E183" t="str">
        <f>"4559"</f>
        <v>4559</v>
      </c>
      <c r="F183" t="str">
        <f>"PD25"</f>
        <v>PD25</v>
      </c>
      <c r="G183" t="str">
        <f>"POTTING TOOL"</f>
        <v>POTTING TOOL</v>
      </c>
      <c r="H183" t="str">
        <f>"gbejar"</f>
        <v>gbejar</v>
      </c>
      <c r="I183" t="str">
        <f>"080"</f>
        <v>080</v>
      </c>
      <c r="J183" t="str">
        <f t="shared" si="44"/>
        <v>N</v>
      </c>
    </row>
    <row r="184" spans="1:10">
      <c r="A184" t="str">
        <f>"0425SB00"</f>
        <v>0425SB00</v>
      </c>
      <c r="B184" t="str">
        <f>"INACT"</f>
        <v>INACT</v>
      </c>
      <c r="C184" t="str">
        <f>"11"</f>
        <v>11</v>
      </c>
      <c r="D184" t="str">
        <f>"N/A"</f>
        <v>N/A</v>
      </c>
      <c r="E184" t="str">
        <f>"N/A"</f>
        <v>N/A</v>
      </c>
      <c r="F184" t="str">
        <f>"N/A"</f>
        <v>N/A</v>
      </c>
      <c r="G184" t="str">
        <f>"FIXTURES DE ENSAMBLE DE TRANSCEIVERS"</f>
        <v>FIXTURES DE ENSAMBLE DE TRANSCEIVERS</v>
      </c>
      <c r="H184" t="str">
        <f>"jnieto"</f>
        <v>jnieto</v>
      </c>
      <c r="I184" t="str">
        <f>"081"</f>
        <v>081</v>
      </c>
      <c r="J184" t="str">
        <f t="shared" si="44"/>
        <v>N</v>
      </c>
    </row>
    <row r="185" spans="1:10">
      <c r="A185" t="str">
        <f>"LE-011-01918"</f>
        <v>LE-011-01918</v>
      </c>
      <c r="B185" t="str">
        <f>"ACT"</f>
        <v>ACT</v>
      </c>
      <c r="C185" t="str">
        <f>"37"</f>
        <v>37</v>
      </c>
      <c r="D185" t="str">
        <f>"TQP00319"</f>
        <v>TQP00319</v>
      </c>
      <c r="E185" t="str">
        <f>"16283"</f>
        <v>16283</v>
      </c>
      <c r="F185" t="str">
        <f>"DMM2150"</f>
        <v>DMM2150</v>
      </c>
      <c r="G185" t="str">
        <f>"AUTOBONDER  PKG  #  05"</f>
        <v>AUTOBONDER  PKG  #  05</v>
      </c>
      <c r="H185" t="str">
        <f>"garaiza"</f>
        <v>garaiza</v>
      </c>
      <c r="I185" t="str">
        <f>"023"</f>
        <v>023</v>
      </c>
      <c r="J185" t="str">
        <f t="shared" si="44"/>
        <v>N</v>
      </c>
    </row>
    <row r="186" spans="1:10">
      <c r="A186" t="str">
        <f>"0533NT16"</f>
        <v>0533NT16</v>
      </c>
      <c r="B186" t="str">
        <f>"ACT"</f>
        <v>ACT</v>
      </c>
      <c r="C186" t="str">
        <f>"09"</f>
        <v>09</v>
      </c>
      <c r="D186" t="str">
        <f>"TQP00093"</f>
        <v>TQP00093</v>
      </c>
      <c r="E186" t="str">
        <f t="shared" ref="E186:F195" si="48">"N/A"</f>
        <v>N/A</v>
      </c>
      <c r="F186" t="str">
        <f t="shared" si="48"/>
        <v>N/A</v>
      </c>
      <c r="G186" t="s">
        <v>1</v>
      </c>
      <c r="H186" t="str">
        <f>"eromero"</f>
        <v>eromero</v>
      </c>
      <c r="I186" t="str">
        <f t="shared" ref="I186:I198" si="49">"081"</f>
        <v>081</v>
      </c>
      <c r="J186" t="str">
        <f t="shared" si="44"/>
        <v>N</v>
      </c>
    </row>
    <row r="187" spans="1:10">
      <c r="A187" t="str">
        <f>"LE-001-04791"</f>
        <v>LE-001-04791</v>
      </c>
      <c r="B187" t="str">
        <f>"INACT"</f>
        <v>INACT</v>
      </c>
      <c r="C187" t="str">
        <f>"22"</f>
        <v>22</v>
      </c>
      <c r="D187" t="str">
        <f t="shared" ref="D187:D193" si="50">"N/A"</f>
        <v>N/A</v>
      </c>
      <c r="E187" t="str">
        <f t="shared" si="48"/>
        <v>N/A</v>
      </c>
      <c r="F187" t="str">
        <f t="shared" si="48"/>
        <v>N/A</v>
      </c>
      <c r="G187" t="str">
        <f>"TEST SET"</f>
        <v>TEST SET</v>
      </c>
      <c r="H187" t="str">
        <f>"gbejar"</f>
        <v>gbejar</v>
      </c>
      <c r="I187" t="str">
        <f t="shared" si="49"/>
        <v>081</v>
      </c>
      <c r="J187" t="str">
        <f t="shared" si="44"/>
        <v>N</v>
      </c>
    </row>
    <row r="188" spans="1:10">
      <c r="A188" t="str">
        <f>"LE-001-04793"</f>
        <v>LE-001-04793</v>
      </c>
      <c r="B188" t="str">
        <f>"INACT"</f>
        <v>INACT</v>
      </c>
      <c r="C188" t="str">
        <f>"22"</f>
        <v>22</v>
      </c>
      <c r="D188" t="str">
        <f t="shared" si="50"/>
        <v>N/A</v>
      </c>
      <c r="E188" t="str">
        <f t="shared" si="48"/>
        <v>N/A</v>
      </c>
      <c r="F188" t="str">
        <f t="shared" si="48"/>
        <v>N/A</v>
      </c>
      <c r="G188" t="str">
        <f>"TEST SET  (LE-001-04867 RACK)"</f>
        <v>TEST SET  (LE-001-04867 RACK)</v>
      </c>
      <c r="H188" t="str">
        <f>"gbejar"</f>
        <v>gbejar</v>
      </c>
      <c r="I188" t="str">
        <f t="shared" si="49"/>
        <v>081</v>
      </c>
      <c r="J188" t="str">
        <f t="shared" si="44"/>
        <v>N</v>
      </c>
    </row>
    <row r="189" spans="1:10">
      <c r="A189" t="str">
        <f>"LE-001-04936"</f>
        <v>LE-001-04936</v>
      </c>
      <c r="B189" t="str">
        <f>"INACT"</f>
        <v>INACT</v>
      </c>
      <c r="C189" t="str">
        <f>"20"</f>
        <v>20</v>
      </c>
      <c r="D189" t="str">
        <f t="shared" si="50"/>
        <v>N/A</v>
      </c>
      <c r="E189" t="str">
        <f t="shared" si="48"/>
        <v>N/A</v>
      </c>
      <c r="F189" t="str">
        <f t="shared" si="48"/>
        <v>N/A</v>
      </c>
      <c r="G189" t="str">
        <f>"MBLT TUNING TEST SET"</f>
        <v>MBLT TUNING TEST SET</v>
      </c>
      <c r="H189" t="str">
        <f>"gbejar"</f>
        <v>gbejar</v>
      </c>
      <c r="I189" t="str">
        <f t="shared" si="49"/>
        <v>081</v>
      </c>
      <c r="J189" t="str">
        <f t="shared" si="44"/>
        <v>N</v>
      </c>
    </row>
    <row r="190" spans="1:10">
      <c r="A190" t="str">
        <f>"LE-001-05076"</f>
        <v>LE-001-05076</v>
      </c>
      <c r="B190" t="str">
        <f>"INACT"</f>
        <v>INACT</v>
      </c>
      <c r="C190" t="str">
        <f>"20"</f>
        <v>20</v>
      </c>
      <c r="D190" t="str">
        <f t="shared" si="50"/>
        <v>N/A</v>
      </c>
      <c r="E190" t="str">
        <f t="shared" si="48"/>
        <v>N/A</v>
      </c>
      <c r="F190" t="str">
        <f t="shared" si="48"/>
        <v>N/A</v>
      </c>
      <c r="G190" t="str">
        <f>"MBLT TUNING TEST SET"</f>
        <v>MBLT TUNING TEST SET</v>
      </c>
      <c r="H190" t="str">
        <f>"gbejar"</f>
        <v>gbejar</v>
      </c>
      <c r="I190" t="str">
        <f t="shared" si="49"/>
        <v>081</v>
      </c>
      <c r="J190" t="str">
        <f t="shared" si="44"/>
        <v>N</v>
      </c>
    </row>
    <row r="191" spans="1:10">
      <c r="A191" t="str">
        <f>"LE-001-05065"</f>
        <v>LE-001-05065</v>
      </c>
      <c r="B191" t="str">
        <f>"INACT"</f>
        <v>INACT</v>
      </c>
      <c r="C191" t="str">
        <f>"19"</f>
        <v>19</v>
      </c>
      <c r="D191" t="str">
        <f t="shared" si="50"/>
        <v>N/A</v>
      </c>
      <c r="E191" t="str">
        <f t="shared" si="48"/>
        <v>N/A</v>
      </c>
      <c r="F191" t="str">
        <f t="shared" si="48"/>
        <v>N/A</v>
      </c>
      <c r="G191" t="str">
        <f>"MBLT TUNING TEST SET"</f>
        <v>MBLT TUNING TEST SET</v>
      </c>
      <c r="H191" t="str">
        <f>"gbejar"</f>
        <v>gbejar</v>
      </c>
      <c r="I191" t="str">
        <f t="shared" si="49"/>
        <v>081</v>
      </c>
      <c r="J191" t="str">
        <f t="shared" si="44"/>
        <v>N</v>
      </c>
    </row>
    <row r="192" spans="1:10">
      <c r="A192" t="str">
        <f>"LE-001-05090"</f>
        <v>LE-001-05090</v>
      </c>
      <c r="B192" t="str">
        <f>"ACT"</f>
        <v>ACT</v>
      </c>
      <c r="C192" t="str">
        <f>"18"</f>
        <v>18</v>
      </c>
      <c r="D192" t="str">
        <f t="shared" si="50"/>
        <v>N/A</v>
      </c>
      <c r="E192" t="str">
        <f t="shared" si="48"/>
        <v>N/A</v>
      </c>
      <c r="F192" t="str">
        <f t="shared" si="48"/>
        <v>N/A</v>
      </c>
      <c r="G192" t="str">
        <f>"RACK  INSTRUMENT-MS SYSTEM # 4"</f>
        <v>RACK  INSTRUMENT-MS SYSTEM # 4</v>
      </c>
      <c r="H192" t="str">
        <f>"grobles"</f>
        <v>grobles</v>
      </c>
      <c r="I192" t="str">
        <f t="shared" si="49"/>
        <v>081</v>
      </c>
      <c r="J192" t="str">
        <f t="shared" si="44"/>
        <v>N</v>
      </c>
    </row>
    <row r="193" spans="1:10">
      <c r="A193" t="str">
        <f>"LE-010-24153"</f>
        <v>LE-010-24153</v>
      </c>
      <c r="B193" t="str">
        <f>"ACT"</f>
        <v>ACT</v>
      </c>
      <c r="C193" t="str">
        <f>"18"</f>
        <v>18</v>
      </c>
      <c r="D193" t="str">
        <f t="shared" si="50"/>
        <v>N/A</v>
      </c>
      <c r="E193" t="str">
        <f t="shared" si="48"/>
        <v>N/A</v>
      </c>
      <c r="F193" t="str">
        <f t="shared" si="48"/>
        <v>N/A</v>
      </c>
      <c r="G193" t="str">
        <f>"RACK  (TEST EQUIPMENT)"</f>
        <v>RACK  (TEST EQUIPMENT)</v>
      </c>
      <c r="H193" t="str">
        <f>"grobles"</f>
        <v>grobles</v>
      </c>
      <c r="I193" t="str">
        <f t="shared" si="49"/>
        <v>081</v>
      </c>
      <c r="J193" t="str">
        <f t="shared" si="44"/>
        <v>N</v>
      </c>
    </row>
    <row r="194" spans="1:10">
      <c r="A194" t="str">
        <f>"LE-010-04965"</f>
        <v>LE-010-04965</v>
      </c>
      <c r="B194" t="str">
        <f>"ACT"</f>
        <v>ACT</v>
      </c>
      <c r="C194" t="str">
        <f>"29"</f>
        <v>29</v>
      </c>
      <c r="D194" t="str">
        <f>"TQP01635"</f>
        <v>TQP01635</v>
      </c>
      <c r="E194" t="str">
        <f t="shared" si="48"/>
        <v>N/A</v>
      </c>
      <c r="F194" t="str">
        <f t="shared" si="48"/>
        <v>N/A</v>
      </c>
      <c r="G194" t="str">
        <f>"TEST SET  # 13  ( EML TRS PACKAGE)"</f>
        <v>TEST SET  # 13  ( EML TRS PACKAGE)</v>
      </c>
      <c r="H194" t="str">
        <f>"jtongo"</f>
        <v>jtongo</v>
      </c>
      <c r="I194" t="str">
        <f t="shared" si="49"/>
        <v>081</v>
      </c>
      <c r="J194" t="str">
        <f t="shared" si="44"/>
        <v>N</v>
      </c>
    </row>
    <row r="195" spans="1:10">
      <c r="A195" t="str">
        <f>"LE-010-04964"</f>
        <v>LE-010-04964</v>
      </c>
      <c r="B195" t="str">
        <f>"INACT"</f>
        <v>INACT</v>
      </c>
      <c r="C195" t="str">
        <f>"04"</f>
        <v>04</v>
      </c>
      <c r="D195" t="str">
        <f>"TQP09149"</f>
        <v>TQP09149</v>
      </c>
      <c r="E195" t="str">
        <f t="shared" si="48"/>
        <v>N/A</v>
      </c>
      <c r="F195" t="str">
        <f t="shared" si="48"/>
        <v>N/A</v>
      </c>
      <c r="G195" t="str">
        <f>"TEST SET  # 12  ( EML TRS PACKAGE)"</f>
        <v>TEST SET  # 12  ( EML TRS PACKAGE)</v>
      </c>
      <c r="H195" t="str">
        <f>"jtongo"</f>
        <v>jtongo</v>
      </c>
      <c r="I195" t="str">
        <f t="shared" si="49"/>
        <v>081</v>
      </c>
      <c r="J195" t="str">
        <f t="shared" si="44"/>
        <v>N</v>
      </c>
    </row>
    <row r="196" spans="1:10">
      <c r="A196" t="str">
        <f>"LE-001-05507"</f>
        <v>LE-001-05507</v>
      </c>
      <c r="B196" t="str">
        <f>"ACT"</f>
        <v>ACT</v>
      </c>
      <c r="C196" t="str">
        <f>"08"</f>
        <v>08</v>
      </c>
      <c r="D196" t="str">
        <f t="shared" ref="D196:E198" si="51">"N/A"</f>
        <v>N/A</v>
      </c>
      <c r="E196" t="str">
        <f t="shared" si="51"/>
        <v>N/A</v>
      </c>
      <c r="F196" t="str">
        <f>"R485"</f>
        <v>R485</v>
      </c>
      <c r="G196" t="str">
        <f>"RECEIVER TEST SET  2.5GB/S"</f>
        <v>RECEIVER TEST SET  2.5GB/S</v>
      </c>
      <c r="H196" t="str">
        <f>"eromero"</f>
        <v>eromero</v>
      </c>
      <c r="I196" t="str">
        <f t="shared" si="49"/>
        <v>081</v>
      </c>
      <c r="J196" t="str">
        <f t="shared" si="44"/>
        <v>N</v>
      </c>
    </row>
    <row r="197" spans="1:10">
      <c r="A197" t="str">
        <f>"LE-001-05165"</f>
        <v>LE-001-05165</v>
      </c>
      <c r="B197" t="str">
        <f>"INACT"</f>
        <v>INACT</v>
      </c>
      <c r="C197" t="str">
        <f>"03"</f>
        <v>03</v>
      </c>
      <c r="D197" t="str">
        <f t="shared" si="51"/>
        <v>N/A</v>
      </c>
      <c r="E197" t="str">
        <f t="shared" si="51"/>
        <v>N/A</v>
      </c>
      <c r="F197" t="str">
        <f>"N/A"</f>
        <v>N/A</v>
      </c>
      <c r="G197" t="str">
        <f>"10 GB/S SONET TEST SET"</f>
        <v>10 GB/S SONET TEST SET</v>
      </c>
      <c r="H197" t="str">
        <f>"eromero"</f>
        <v>eromero</v>
      </c>
      <c r="I197" t="str">
        <f t="shared" si="49"/>
        <v>081</v>
      </c>
      <c r="J197" t="str">
        <f t="shared" ref="J197:J228" si="52">"N"</f>
        <v>N</v>
      </c>
    </row>
    <row r="198" spans="1:10">
      <c r="A198" t="str">
        <f>"LE-010-05501"</f>
        <v>LE-010-05501</v>
      </c>
      <c r="B198" t="str">
        <f>"INACT"</f>
        <v>INACT</v>
      </c>
      <c r="C198" t="str">
        <f>"03"</f>
        <v>03</v>
      </c>
      <c r="D198" t="str">
        <f t="shared" si="51"/>
        <v>N/A</v>
      </c>
      <c r="E198" t="str">
        <f t="shared" si="51"/>
        <v>N/A</v>
      </c>
      <c r="F198" t="str">
        <f>"N/A"</f>
        <v>N/A</v>
      </c>
      <c r="G198" t="str">
        <f>"TEST SET TRANSPONDER 10GB/S / CB64 "</f>
        <v xml:space="preserve">TEST SET TRANSPONDER 10GB/S / CB64 </v>
      </c>
      <c r="H198" t="str">
        <f>"gbejar"</f>
        <v>gbejar</v>
      </c>
      <c r="I198" t="str">
        <f t="shared" si="49"/>
        <v>081</v>
      </c>
      <c r="J198" t="str">
        <f t="shared" si="52"/>
        <v>N</v>
      </c>
    </row>
    <row r="199" spans="1:10">
      <c r="A199" t="str">
        <f>"LE-011-02138"</f>
        <v>LE-011-02138</v>
      </c>
      <c r="B199" t="str">
        <f t="shared" ref="B199:B205" si="53">"ACT"</f>
        <v>ACT</v>
      </c>
      <c r="C199" t="str">
        <f>"13"</f>
        <v>13</v>
      </c>
      <c r="D199" t="str">
        <f>"TQP0022"</f>
        <v>TQP0022</v>
      </c>
      <c r="E199" t="str">
        <f>"306326"</f>
        <v>306326</v>
      </c>
      <c r="F199" t="str">
        <f t="shared" ref="F199:F205" si="54">"ESEC 3088"</f>
        <v>ESEC 3088</v>
      </c>
      <c r="G199" t="str">
        <f>"WIRE BOND (PIN SLED)"</f>
        <v>WIRE BOND (PIN SLED)</v>
      </c>
      <c r="H199" t="str">
        <f>"rramones"</f>
        <v>rramones</v>
      </c>
      <c r="I199" t="str">
        <f t="shared" ref="I199:I205" si="55">"027"</f>
        <v>027</v>
      </c>
      <c r="J199" t="str">
        <f t="shared" si="52"/>
        <v>N</v>
      </c>
    </row>
    <row r="200" spans="1:10">
      <c r="A200" t="str">
        <f>"LE-011-02139"</f>
        <v>LE-011-02139</v>
      </c>
      <c r="B200" t="str">
        <f t="shared" si="53"/>
        <v>ACT</v>
      </c>
      <c r="C200" t="str">
        <f>"13"</f>
        <v>13</v>
      </c>
      <c r="D200" t="str">
        <f>"TQP0023"</f>
        <v>TQP0023</v>
      </c>
      <c r="E200" t="str">
        <f>"306032"</f>
        <v>306032</v>
      </c>
      <c r="F200" t="str">
        <f t="shared" si="54"/>
        <v>ESEC 3088</v>
      </c>
      <c r="G200" t="str">
        <f>"WIRE BOND (LASER SLED)"</f>
        <v>WIRE BOND (LASER SLED)</v>
      </c>
      <c r="H200" t="str">
        <f>"vvazquez"</f>
        <v>vvazquez</v>
      </c>
      <c r="I200" t="str">
        <f t="shared" si="55"/>
        <v>027</v>
      </c>
      <c r="J200" t="str">
        <f t="shared" si="52"/>
        <v>N</v>
      </c>
    </row>
    <row r="201" spans="1:10">
      <c r="A201" t="str">
        <f>"LE-010-26170"</f>
        <v>LE-010-26170</v>
      </c>
      <c r="B201" t="str">
        <f t="shared" si="53"/>
        <v>ACT</v>
      </c>
      <c r="C201" t="str">
        <f>"09"</f>
        <v>09</v>
      </c>
      <c r="D201" t="str">
        <f>"TQP00361"</f>
        <v>TQP00361</v>
      </c>
      <c r="E201" t="str">
        <f>"306028"</f>
        <v>306028</v>
      </c>
      <c r="F201" t="str">
        <f t="shared" si="54"/>
        <v>ESEC 3088</v>
      </c>
      <c r="G201" t="str">
        <f>"WIRE BOND # 2"</f>
        <v>WIRE BOND # 2</v>
      </c>
      <c r="H201" t="str">
        <f>"rramones"</f>
        <v>rramones</v>
      </c>
      <c r="I201" t="str">
        <f t="shared" si="55"/>
        <v>027</v>
      </c>
      <c r="J201" t="str">
        <f t="shared" si="52"/>
        <v>N</v>
      </c>
    </row>
    <row r="202" spans="1:10">
      <c r="A202" t="str">
        <f>"LE-011-02135"</f>
        <v>LE-011-02135</v>
      </c>
      <c r="B202" t="str">
        <f t="shared" si="53"/>
        <v>ACT</v>
      </c>
      <c r="C202" t="str">
        <f>"28"</f>
        <v>28</v>
      </c>
      <c r="D202" t="str">
        <f>"TQP12703"</f>
        <v>TQP12703</v>
      </c>
      <c r="E202" t="str">
        <f>"306030"</f>
        <v>306030</v>
      </c>
      <c r="F202" t="str">
        <f t="shared" si="54"/>
        <v>ESEC 3088</v>
      </c>
      <c r="G202" t="str">
        <f>"WIRE BOND"</f>
        <v>WIRE BOND</v>
      </c>
      <c r="H202" t="str">
        <f>"rramones"</f>
        <v>rramones</v>
      </c>
      <c r="I202" t="str">
        <f t="shared" si="55"/>
        <v>027</v>
      </c>
      <c r="J202" t="str">
        <f t="shared" si="52"/>
        <v>N</v>
      </c>
    </row>
    <row r="203" spans="1:10">
      <c r="A203" t="str">
        <f>"0342OS00"</f>
        <v>0342OS00</v>
      </c>
      <c r="B203" t="str">
        <f t="shared" si="53"/>
        <v>ACT</v>
      </c>
      <c r="C203" t="str">
        <f>"13"</f>
        <v>13</v>
      </c>
      <c r="D203" t="str">
        <f>"TQP00363"</f>
        <v>TQP00363</v>
      </c>
      <c r="E203" t="str">
        <f>"306131"</f>
        <v>306131</v>
      </c>
      <c r="F203" t="str">
        <f t="shared" si="54"/>
        <v>ESEC 3088</v>
      </c>
      <c r="G203" t="str">
        <f>"WIRE BOND"</f>
        <v>WIRE BOND</v>
      </c>
      <c r="H203" t="str">
        <f>"rramones"</f>
        <v>rramones</v>
      </c>
      <c r="I203" t="str">
        <f t="shared" si="55"/>
        <v>027</v>
      </c>
      <c r="J203" t="str">
        <f t="shared" si="52"/>
        <v>N</v>
      </c>
    </row>
    <row r="204" spans="1:10">
      <c r="A204" t="str">
        <f>"0319UR27"</f>
        <v>0319UR27</v>
      </c>
      <c r="B204" t="str">
        <f t="shared" si="53"/>
        <v>ACT</v>
      </c>
      <c r="C204" t="str">
        <f>"08"</f>
        <v>08</v>
      </c>
      <c r="D204" t="str">
        <f>"TQP00360"</f>
        <v>TQP00360</v>
      </c>
      <c r="E204" t="str">
        <f>"306031"</f>
        <v>306031</v>
      </c>
      <c r="F204" t="str">
        <f t="shared" si="54"/>
        <v>ESEC 3088</v>
      </c>
      <c r="G204" t="str">
        <f>"WIRE BOND # 1"</f>
        <v>WIRE BOND # 1</v>
      </c>
      <c r="H204" t="str">
        <f>"gramirez"</f>
        <v>gramirez</v>
      </c>
      <c r="I204" t="str">
        <f t="shared" si="55"/>
        <v>027</v>
      </c>
      <c r="J204" t="str">
        <f t="shared" si="52"/>
        <v>N</v>
      </c>
    </row>
    <row r="205" spans="1:10">
      <c r="A205" t="str">
        <f>"0320UR05"</f>
        <v>0320UR05</v>
      </c>
      <c r="B205" t="str">
        <f t="shared" si="53"/>
        <v>ACT</v>
      </c>
      <c r="C205" t="str">
        <f>"04"</f>
        <v>04</v>
      </c>
      <c r="D205" t="str">
        <f>"TQP00353"</f>
        <v>TQP00353</v>
      </c>
      <c r="E205" t="str">
        <f>"306132"</f>
        <v>306132</v>
      </c>
      <c r="F205" t="str">
        <f t="shared" si="54"/>
        <v>ESEC 3088</v>
      </c>
      <c r="G205" t="str">
        <f>"WIRE BOND"</f>
        <v>WIRE BOND</v>
      </c>
      <c r="H205" t="str">
        <f>"rramones"</f>
        <v>rramones</v>
      </c>
      <c r="I205" t="str">
        <f t="shared" si="55"/>
        <v>027</v>
      </c>
      <c r="J205" t="str">
        <f t="shared" si="52"/>
        <v>N</v>
      </c>
    </row>
    <row r="206" spans="1:10">
      <c r="A206" t="str">
        <f>"0439FC00"</f>
        <v>0439FC00</v>
      </c>
      <c r="B206" t="str">
        <f>"INACT"</f>
        <v>INACT</v>
      </c>
      <c r="C206" t="str">
        <f>"16"</f>
        <v>16</v>
      </c>
      <c r="D206" t="str">
        <f t="shared" ref="D206:D211" si="56">"N/A"</f>
        <v>N/A</v>
      </c>
      <c r="E206" t="str">
        <f>"TSO54096152"</f>
        <v>TSO54096152</v>
      </c>
      <c r="F206" t="str">
        <f>"SIERRA-H100"</f>
        <v>SIERRA-H100</v>
      </c>
      <c r="G206" t="str">
        <f>"AIR COMPRESSOR"</f>
        <v>AIR COMPRESSOR</v>
      </c>
      <c r="H206" t="str">
        <f>"jmaldonado"</f>
        <v>jmaldonado</v>
      </c>
      <c r="I206" t="str">
        <f>"085"</f>
        <v>085</v>
      </c>
      <c r="J206" t="str">
        <f t="shared" si="52"/>
        <v>N</v>
      </c>
    </row>
    <row r="207" spans="1:10">
      <c r="A207" t="str">
        <f>"0439FC01"</f>
        <v>0439FC01</v>
      </c>
      <c r="B207" t="str">
        <f>"INACT"</f>
        <v>INACT</v>
      </c>
      <c r="C207" t="str">
        <f>"16"</f>
        <v>16</v>
      </c>
      <c r="D207" t="str">
        <f t="shared" si="56"/>
        <v>N/A</v>
      </c>
      <c r="E207" t="str">
        <f>"TSO902097304"</f>
        <v>TSO902097304</v>
      </c>
      <c r="F207" t="str">
        <f>"SIERRA-H75"</f>
        <v>SIERRA-H75</v>
      </c>
      <c r="G207" t="str">
        <f>"AIR COMPRESSOR"</f>
        <v>AIR COMPRESSOR</v>
      </c>
      <c r="H207" t="str">
        <f>"jmaldonado"</f>
        <v>jmaldonado</v>
      </c>
      <c r="I207" t="str">
        <f>"085"</f>
        <v>085</v>
      </c>
      <c r="J207" t="str">
        <f t="shared" si="52"/>
        <v>N</v>
      </c>
    </row>
    <row r="208" spans="1:10">
      <c r="A208" t="str">
        <f>"0322MD34"</f>
        <v>0322MD34</v>
      </c>
      <c r="B208" t="str">
        <f>"INACT"</f>
        <v>INACT</v>
      </c>
      <c r="C208" t="str">
        <f>"03"</f>
        <v>03</v>
      </c>
      <c r="D208" t="str">
        <f t="shared" si="56"/>
        <v>N/A</v>
      </c>
      <c r="E208" t="str">
        <f>"012328K"</f>
        <v>012328K</v>
      </c>
      <c r="F208" t="str">
        <f>"CL4000 24 "</f>
        <v xml:space="preserve">CL4000 24 </v>
      </c>
      <c r="G208" t="str">
        <f>"SCREW DRIVER"</f>
        <v>SCREW DRIVER</v>
      </c>
      <c r="H208" t="str">
        <f>"jnieto"</f>
        <v>jnieto</v>
      </c>
      <c r="I208" t="str">
        <f>"050"</f>
        <v>050</v>
      </c>
      <c r="J208" t="str">
        <f t="shared" si="52"/>
        <v>N</v>
      </c>
    </row>
    <row r="209" spans="1:10">
      <c r="A209" t="str">
        <f>"LE-007-00532"</f>
        <v>LE-007-00532</v>
      </c>
      <c r="B209" t="str">
        <f>"ACT"</f>
        <v>ACT</v>
      </c>
      <c r="C209" t="str">
        <f>"012"</f>
        <v>012</v>
      </c>
      <c r="D209" t="str">
        <f t="shared" si="56"/>
        <v>N/A</v>
      </c>
      <c r="E209" t="str">
        <f>"012399K"</f>
        <v>012399K</v>
      </c>
      <c r="F209" t="str">
        <f>"CL4000 24 "</f>
        <v xml:space="preserve">CL4000 24 </v>
      </c>
      <c r="G209" t="str">
        <f>"SCREW DRIVER"</f>
        <v>SCREW DRIVER</v>
      </c>
      <c r="H209" t="str">
        <f>"jnieto"</f>
        <v>jnieto</v>
      </c>
      <c r="I209" t="str">
        <f>"050"</f>
        <v>050</v>
      </c>
      <c r="J209" t="str">
        <f t="shared" si="52"/>
        <v>N</v>
      </c>
    </row>
    <row r="210" spans="1:10">
      <c r="A210" t="str">
        <f>"LE-007-00533"</f>
        <v>LE-007-00533</v>
      </c>
      <c r="B210" t="str">
        <f>"ACT"</f>
        <v>ACT</v>
      </c>
      <c r="C210" t="str">
        <f>"012"</f>
        <v>012</v>
      </c>
      <c r="D210" t="str">
        <f t="shared" si="56"/>
        <v>N/A</v>
      </c>
      <c r="E210" t="str">
        <f>"901639K"</f>
        <v>901639K</v>
      </c>
      <c r="F210" t="str">
        <f>"CL4000 24 "</f>
        <v xml:space="preserve">CL4000 24 </v>
      </c>
      <c r="G210" t="str">
        <f>"SCREW DRIVER"</f>
        <v>SCREW DRIVER</v>
      </c>
      <c r="H210" t="str">
        <f>"jnieto"</f>
        <v>jnieto</v>
      </c>
      <c r="I210" t="str">
        <f>"050"</f>
        <v>050</v>
      </c>
      <c r="J210" t="str">
        <f t="shared" si="52"/>
        <v>N</v>
      </c>
    </row>
    <row r="211" spans="1:10">
      <c r="A211" t="str">
        <f>"LE-007-00535"</f>
        <v>LE-007-00535</v>
      </c>
      <c r="B211" t="str">
        <f>"ACT"</f>
        <v>ACT</v>
      </c>
      <c r="C211" t="str">
        <f>"012"</f>
        <v>012</v>
      </c>
      <c r="D211" t="str">
        <f t="shared" si="56"/>
        <v>N/A</v>
      </c>
      <c r="E211" t="str">
        <f>"901636K"</f>
        <v>901636K</v>
      </c>
      <c r="F211" t="str">
        <f>"CL4000 24 "</f>
        <v xml:space="preserve">CL4000 24 </v>
      </c>
      <c r="G211" t="str">
        <f>"SCREW DRIVER"</f>
        <v>SCREW DRIVER</v>
      </c>
      <c r="H211" t="str">
        <f>"jnieto"</f>
        <v>jnieto</v>
      </c>
      <c r="I211" t="str">
        <f>"050"</f>
        <v>050</v>
      </c>
      <c r="J211" t="str">
        <f t="shared" si="52"/>
        <v>N</v>
      </c>
    </row>
    <row r="212" spans="1:10">
      <c r="A212" t="str">
        <f>"LE-082-00331"</f>
        <v>LE-082-00331</v>
      </c>
      <c r="B212" t="str">
        <f>"INACT"</f>
        <v>INACT</v>
      </c>
      <c r="C212" t="str">
        <f>"02"</f>
        <v>02</v>
      </c>
      <c r="D212" t="str">
        <f>"TQP01400"</f>
        <v>TQP01400</v>
      </c>
      <c r="E212" t="str">
        <f>"N/A"</f>
        <v>N/A</v>
      </c>
      <c r="F212" t="str">
        <f>"N/A"</f>
        <v>N/A</v>
      </c>
      <c r="G212" t="str">
        <f>"ANALYZER TRIM STATION"</f>
        <v>ANALYZER TRIM STATION</v>
      </c>
      <c r="H212" t="str">
        <f>"rramones"</f>
        <v>rramones</v>
      </c>
      <c r="I212" t="str">
        <f>"081"</f>
        <v>081</v>
      </c>
      <c r="J212" t="str">
        <f t="shared" si="52"/>
        <v>N</v>
      </c>
    </row>
    <row r="213" spans="1:10">
      <c r="A213" t="str">
        <f>"LE-010-27739"</f>
        <v>LE-010-27739</v>
      </c>
      <c r="B213" t="str">
        <f>"INACT"</f>
        <v>INACT</v>
      </c>
      <c r="C213" t="str">
        <f>"19"</f>
        <v>19</v>
      </c>
      <c r="D213" t="str">
        <f>"TQP00005"</f>
        <v>TQP00005</v>
      </c>
      <c r="E213" t="str">
        <f>"1000003"</f>
        <v>1000003</v>
      </c>
      <c r="F213" t="str">
        <f>"2200  APM"</f>
        <v>2200  APM</v>
      </c>
      <c r="G213" t="str">
        <f>"AUTOMATIC EPOXY DISPENSER"</f>
        <v>AUTOMATIC EPOXY DISPENSER</v>
      </c>
      <c r="H213" t="str">
        <f>"rramones"</f>
        <v>rramones</v>
      </c>
      <c r="I213" t="str">
        <f>"086"</f>
        <v>086</v>
      </c>
      <c r="J213" t="str">
        <f t="shared" si="52"/>
        <v>N</v>
      </c>
    </row>
    <row r="214" spans="1:10">
      <c r="A214" t="str">
        <f>"0320UR00"</f>
        <v>0320UR00</v>
      </c>
      <c r="B214" t="str">
        <f>"ACT"</f>
        <v>ACT</v>
      </c>
      <c r="C214" t="str">
        <f>"08"</f>
        <v>08</v>
      </c>
      <c r="D214" t="str">
        <f>"TQP09282"</f>
        <v>TQP09282</v>
      </c>
      <c r="E214" t="str">
        <f>"N/A"</f>
        <v>N/A</v>
      </c>
      <c r="F214" t="str">
        <f>"N/A"</f>
        <v>N/A</v>
      </c>
      <c r="G214" t="str">
        <f>"TEST SET LIV # 9"</f>
        <v>TEST SET LIV # 9</v>
      </c>
      <c r="H214" t="str">
        <f>"jhernandez"</f>
        <v>jhernandez</v>
      </c>
      <c r="I214" t="str">
        <f>"081"</f>
        <v>081</v>
      </c>
      <c r="J214" t="str">
        <f t="shared" si="52"/>
        <v>N</v>
      </c>
    </row>
    <row r="215" spans="1:10">
      <c r="A215" t="str">
        <f>"LE-003-00811"</f>
        <v>LE-003-00811</v>
      </c>
      <c r="B215" t="str">
        <f>"ACT"</f>
        <v>ACT</v>
      </c>
      <c r="C215" t="str">
        <f>"07"</f>
        <v>07</v>
      </c>
      <c r="D215" t="str">
        <f t="shared" ref="D215:D228" si="57">"N/A"</f>
        <v>N/A</v>
      </c>
      <c r="E215" t="str">
        <f>"3100-01110"</f>
        <v>3100-01110</v>
      </c>
      <c r="F215" t="str">
        <f t="shared" ref="F215:F228" si="58">"HJ3100"</f>
        <v>HJ3100</v>
      </c>
      <c r="G215" t="str">
        <f>"FUME EXTRACTION"</f>
        <v>FUME EXTRACTION</v>
      </c>
      <c r="H215" t="str">
        <f>"rramones"</f>
        <v>rramones</v>
      </c>
      <c r="I215" t="str">
        <f t="shared" ref="I215:I228" si="59">"034"</f>
        <v>034</v>
      </c>
      <c r="J215" t="str">
        <f t="shared" si="52"/>
        <v>N</v>
      </c>
    </row>
    <row r="216" spans="1:10">
      <c r="A216" t="str">
        <f>"LE-003-00790"</f>
        <v>LE-003-00790</v>
      </c>
      <c r="B216" t="str">
        <f>"ACT"</f>
        <v>ACT</v>
      </c>
      <c r="C216" t="str">
        <f>"07"</f>
        <v>07</v>
      </c>
      <c r="D216" t="str">
        <f t="shared" si="57"/>
        <v>N/A</v>
      </c>
      <c r="E216" t="str">
        <f>"3100-01087"</f>
        <v>3100-01087</v>
      </c>
      <c r="F216" t="str">
        <f t="shared" si="58"/>
        <v>HJ3100</v>
      </c>
      <c r="G216" t="str">
        <f>"FUME EXTRACTION"</f>
        <v>FUME EXTRACTION</v>
      </c>
      <c r="H216" t="str">
        <f>"rramones"</f>
        <v>rramones</v>
      </c>
      <c r="I216" t="str">
        <f t="shared" si="59"/>
        <v>034</v>
      </c>
      <c r="J216" t="str">
        <f t="shared" si="52"/>
        <v>N</v>
      </c>
    </row>
    <row r="217" spans="1:10">
      <c r="A217" t="str">
        <f>"LE-003-00791"</f>
        <v>LE-003-00791</v>
      </c>
      <c r="B217" t="str">
        <f>"ACT"</f>
        <v>ACT</v>
      </c>
      <c r="C217" t="str">
        <f>"07"</f>
        <v>07</v>
      </c>
      <c r="D217" t="str">
        <f t="shared" si="57"/>
        <v>N/A</v>
      </c>
      <c r="E217" t="str">
        <f>"HJ3100-01002"</f>
        <v>HJ3100-01002</v>
      </c>
      <c r="F217" t="str">
        <f t="shared" si="58"/>
        <v>HJ3100</v>
      </c>
      <c r="G217" t="str">
        <f>"FUME EXTRACTION"</f>
        <v>FUME EXTRACTION</v>
      </c>
      <c r="H217" t="str">
        <f>"rramones"</f>
        <v>rramones</v>
      </c>
      <c r="I217" t="str">
        <f t="shared" si="59"/>
        <v>034</v>
      </c>
      <c r="J217" t="str">
        <f t="shared" si="52"/>
        <v>N</v>
      </c>
    </row>
    <row r="218" spans="1:10">
      <c r="A218" t="str">
        <f>"LE-003-00794"</f>
        <v>LE-003-00794</v>
      </c>
      <c r="B218" t="str">
        <f>"INACT"</f>
        <v>INACT</v>
      </c>
      <c r="C218" t="str">
        <f>"19"</f>
        <v>19</v>
      </c>
      <c r="D218" t="str">
        <f t="shared" si="57"/>
        <v>N/A</v>
      </c>
      <c r="E218" t="str">
        <f>"3100-01089"</f>
        <v>3100-01089</v>
      </c>
      <c r="F218" t="str">
        <f t="shared" si="58"/>
        <v>HJ3100</v>
      </c>
      <c r="G218" t="str">
        <f>"FUME EXTRACTION"</f>
        <v>FUME EXTRACTION</v>
      </c>
      <c r="H218" t="str">
        <f>"jcastaneda"</f>
        <v>jcastaneda</v>
      </c>
      <c r="I218" t="str">
        <f t="shared" si="59"/>
        <v>034</v>
      </c>
      <c r="J218" t="str">
        <f t="shared" si="52"/>
        <v>N</v>
      </c>
    </row>
    <row r="219" spans="1:10">
      <c r="A219" t="str">
        <f>"LE-003-00802"</f>
        <v>LE-003-00802</v>
      </c>
      <c r="B219" t="str">
        <f>"ACT"</f>
        <v>ACT</v>
      </c>
      <c r="C219" t="str">
        <f>"09"</f>
        <v>09</v>
      </c>
      <c r="D219" t="str">
        <f t="shared" si="57"/>
        <v>N/A</v>
      </c>
      <c r="E219" t="str">
        <f>"3100-01059"</f>
        <v>3100-01059</v>
      </c>
      <c r="F219" t="str">
        <f t="shared" si="58"/>
        <v>HJ3100</v>
      </c>
      <c r="G219" t="str">
        <f>"FUME EXTRACTION -HEADER"</f>
        <v>FUME EXTRACTION -HEADER</v>
      </c>
      <c r="H219" t="str">
        <f>"ecerda"</f>
        <v>ecerda</v>
      </c>
      <c r="I219" t="str">
        <f t="shared" si="59"/>
        <v>034</v>
      </c>
      <c r="J219" t="str">
        <f t="shared" si="52"/>
        <v>N</v>
      </c>
    </row>
    <row r="220" spans="1:10">
      <c r="A220" t="str">
        <f>"LE-003-00800"</f>
        <v>LE-003-00800</v>
      </c>
      <c r="B220" t="str">
        <f>"ACT"</f>
        <v>ACT</v>
      </c>
      <c r="C220" t="str">
        <f>"09"</f>
        <v>09</v>
      </c>
      <c r="D220" t="str">
        <f t="shared" si="57"/>
        <v>N/A</v>
      </c>
      <c r="E220" t="str">
        <f>"3100-01066"</f>
        <v>3100-01066</v>
      </c>
      <c r="F220" t="str">
        <f t="shared" si="58"/>
        <v>HJ3100</v>
      </c>
      <c r="G220" t="str">
        <f t="shared" ref="G220:G228" si="60">"FUME EXTRACTION"</f>
        <v>FUME EXTRACTION</v>
      </c>
      <c r="H220" t="str">
        <f>"jnieto"</f>
        <v>jnieto</v>
      </c>
      <c r="I220" t="str">
        <f t="shared" si="59"/>
        <v>034</v>
      </c>
      <c r="J220" t="str">
        <f t="shared" si="52"/>
        <v>N</v>
      </c>
    </row>
    <row r="221" spans="1:10">
      <c r="A221" t="str">
        <f>"LE-003-00803"</f>
        <v>LE-003-00803</v>
      </c>
      <c r="B221" t="str">
        <f>"INACT"</f>
        <v>INACT</v>
      </c>
      <c r="C221" t="str">
        <f>"19"</f>
        <v>19</v>
      </c>
      <c r="D221" t="str">
        <f t="shared" si="57"/>
        <v>N/A</v>
      </c>
      <c r="E221" t="str">
        <f>"3100-01060"</f>
        <v>3100-01060</v>
      </c>
      <c r="F221" t="str">
        <f t="shared" si="58"/>
        <v>HJ3100</v>
      </c>
      <c r="G221" t="str">
        <f t="shared" si="60"/>
        <v>FUME EXTRACTION</v>
      </c>
      <c r="H221" t="str">
        <f>"zfernandez"</f>
        <v>zfernandez</v>
      </c>
      <c r="I221" t="str">
        <f t="shared" si="59"/>
        <v>034</v>
      </c>
      <c r="J221" t="str">
        <f t="shared" si="52"/>
        <v>N</v>
      </c>
    </row>
    <row r="222" spans="1:10">
      <c r="A222" t="str">
        <f>"LE-003-00797"</f>
        <v>LE-003-00797</v>
      </c>
      <c r="B222" t="str">
        <f>"ACT"</f>
        <v>ACT</v>
      </c>
      <c r="C222" t="str">
        <f>"18"</f>
        <v>18</v>
      </c>
      <c r="D222" t="str">
        <f t="shared" si="57"/>
        <v>N/A</v>
      </c>
      <c r="E222" t="str">
        <f>"3100-01068"</f>
        <v>3100-01068</v>
      </c>
      <c r="F222" t="str">
        <f t="shared" si="58"/>
        <v>HJ3100</v>
      </c>
      <c r="G222" t="str">
        <f t="shared" si="60"/>
        <v>FUME EXTRACTION</v>
      </c>
      <c r="H222" t="str">
        <f>"grobles"</f>
        <v>grobles</v>
      </c>
      <c r="I222" t="str">
        <f t="shared" si="59"/>
        <v>034</v>
      </c>
      <c r="J222" t="str">
        <f t="shared" si="52"/>
        <v>N</v>
      </c>
    </row>
    <row r="223" spans="1:10">
      <c r="A223" t="str">
        <f>"LE-003-00799"</f>
        <v>LE-003-00799</v>
      </c>
      <c r="B223" t="str">
        <f>"INACT"</f>
        <v>INACT</v>
      </c>
      <c r="C223" t="str">
        <f>"19"</f>
        <v>19</v>
      </c>
      <c r="D223" t="str">
        <f t="shared" si="57"/>
        <v>N/A</v>
      </c>
      <c r="E223" t="str">
        <f>"N/A"</f>
        <v>N/A</v>
      </c>
      <c r="F223" t="str">
        <f t="shared" si="58"/>
        <v>HJ3100</v>
      </c>
      <c r="G223" t="str">
        <f t="shared" si="60"/>
        <v>FUME EXTRACTION</v>
      </c>
      <c r="H223" t="str">
        <f>"zfernandez"</f>
        <v>zfernandez</v>
      </c>
      <c r="I223" t="str">
        <f t="shared" si="59"/>
        <v>034</v>
      </c>
      <c r="J223" t="str">
        <f t="shared" si="52"/>
        <v>N</v>
      </c>
    </row>
    <row r="224" spans="1:10">
      <c r="A224" t="str">
        <f>"LE-003-00816"</f>
        <v>LE-003-00816</v>
      </c>
      <c r="B224" t="str">
        <f>"ACT"</f>
        <v>ACT</v>
      </c>
      <c r="C224" t="str">
        <f>"09"</f>
        <v>09</v>
      </c>
      <c r="D224" t="str">
        <f t="shared" si="57"/>
        <v>N/A</v>
      </c>
      <c r="E224" t="str">
        <f>"3100-01099"</f>
        <v>3100-01099</v>
      </c>
      <c r="F224" t="str">
        <f t="shared" si="58"/>
        <v>HJ3100</v>
      </c>
      <c r="G224" t="str">
        <f t="shared" si="60"/>
        <v>FUME EXTRACTION</v>
      </c>
      <c r="H224" t="str">
        <f>"ahernandez"</f>
        <v>ahernandez</v>
      </c>
      <c r="I224" t="str">
        <f t="shared" si="59"/>
        <v>034</v>
      </c>
      <c r="J224" t="str">
        <f t="shared" si="52"/>
        <v>N</v>
      </c>
    </row>
    <row r="225" spans="1:10">
      <c r="A225" t="str">
        <f>"LE-003-00801"</f>
        <v>LE-003-00801</v>
      </c>
      <c r="B225" t="str">
        <f>"INACT"</f>
        <v>INACT</v>
      </c>
      <c r="C225" t="str">
        <f>"22"</f>
        <v>22</v>
      </c>
      <c r="D225" t="str">
        <f t="shared" si="57"/>
        <v>N/A</v>
      </c>
      <c r="E225" t="str">
        <f>"3100-01063"</f>
        <v>3100-01063</v>
      </c>
      <c r="F225" t="str">
        <f t="shared" si="58"/>
        <v>HJ3100</v>
      </c>
      <c r="G225" t="str">
        <f t="shared" si="60"/>
        <v>FUME EXTRACTION</v>
      </c>
      <c r="H225" t="str">
        <f>"jnieto"</f>
        <v>jnieto</v>
      </c>
      <c r="I225" t="str">
        <f t="shared" si="59"/>
        <v>034</v>
      </c>
      <c r="J225" t="str">
        <f t="shared" si="52"/>
        <v>N</v>
      </c>
    </row>
    <row r="226" spans="1:10">
      <c r="A226" t="str">
        <f>"LE-003-00814"</f>
        <v>LE-003-00814</v>
      </c>
      <c r="B226" t="str">
        <f>"ACT"</f>
        <v>ACT</v>
      </c>
      <c r="C226" t="str">
        <f>"09"</f>
        <v>09</v>
      </c>
      <c r="D226" t="str">
        <f t="shared" si="57"/>
        <v>N/A</v>
      </c>
      <c r="E226" t="str">
        <f>"HJ3100-01075"</f>
        <v>HJ3100-01075</v>
      </c>
      <c r="F226" t="str">
        <f t="shared" si="58"/>
        <v>HJ3100</v>
      </c>
      <c r="G226" t="str">
        <f t="shared" si="60"/>
        <v>FUME EXTRACTION</v>
      </c>
      <c r="H226" t="str">
        <f>"ahernandez"</f>
        <v>ahernandez</v>
      </c>
      <c r="I226" t="str">
        <f t="shared" si="59"/>
        <v>034</v>
      </c>
      <c r="J226" t="str">
        <f t="shared" si="52"/>
        <v>N</v>
      </c>
    </row>
    <row r="227" spans="1:10">
      <c r="A227" t="str">
        <f>"LE-003-00798"</f>
        <v>LE-003-00798</v>
      </c>
      <c r="B227" t="str">
        <f>"INACT"</f>
        <v>INACT</v>
      </c>
      <c r="C227" t="str">
        <f>"21"</f>
        <v>21</v>
      </c>
      <c r="D227" t="str">
        <f t="shared" si="57"/>
        <v>N/A</v>
      </c>
      <c r="E227" t="str">
        <f>"3100-01073"</f>
        <v>3100-01073</v>
      </c>
      <c r="F227" t="str">
        <f t="shared" si="58"/>
        <v>HJ3100</v>
      </c>
      <c r="G227" t="str">
        <f t="shared" si="60"/>
        <v>FUME EXTRACTION</v>
      </c>
      <c r="H227" t="str">
        <f>"jnieto"</f>
        <v>jnieto</v>
      </c>
      <c r="I227" t="str">
        <f t="shared" si="59"/>
        <v>034</v>
      </c>
      <c r="J227" t="str">
        <f t="shared" si="52"/>
        <v>N</v>
      </c>
    </row>
    <row r="228" spans="1:10">
      <c r="A228" t="str">
        <f>"LE-003-00795"</f>
        <v>LE-003-00795</v>
      </c>
      <c r="B228" t="str">
        <f>"INACT"</f>
        <v>INACT</v>
      </c>
      <c r="C228" t="str">
        <f>"03"</f>
        <v>03</v>
      </c>
      <c r="D228" t="str">
        <f t="shared" si="57"/>
        <v>N/A</v>
      </c>
      <c r="E228" t="str">
        <f>"3100-01071"</f>
        <v>3100-01071</v>
      </c>
      <c r="F228" t="str">
        <f t="shared" si="58"/>
        <v>HJ3100</v>
      </c>
      <c r="G228" t="str">
        <f t="shared" si="60"/>
        <v>FUME EXTRACTION</v>
      </c>
      <c r="H228" t="str">
        <f>"jnieto"</f>
        <v>jnieto</v>
      </c>
      <c r="I228" t="str">
        <f t="shared" si="59"/>
        <v>034</v>
      </c>
      <c r="J228" t="str">
        <f t="shared" si="52"/>
        <v>N</v>
      </c>
    </row>
    <row r="229" spans="1:10">
      <c r="A229" t="str">
        <f>"LE-079-00488"</f>
        <v>LE-079-00488</v>
      </c>
      <c r="B229" t="str">
        <f>"INACT"</f>
        <v>INACT</v>
      </c>
      <c r="C229" t="str">
        <f>"02"</f>
        <v>02</v>
      </c>
      <c r="D229" t="str">
        <f>"TQP01399"</f>
        <v>TQP01399</v>
      </c>
      <c r="E229" t="str">
        <f>"N/A"</f>
        <v>N/A</v>
      </c>
      <c r="F229" t="str">
        <f>"N/A"</f>
        <v>N/A</v>
      </c>
      <c r="G229" t="str">
        <f>"BREAKOUT MACHINE"</f>
        <v>BREAKOUT MACHINE</v>
      </c>
      <c r="H229" t="str">
        <f>"jcastaneda"</f>
        <v>jcastaneda</v>
      </c>
      <c r="I229" t="str">
        <f>"087"</f>
        <v>087</v>
      </c>
      <c r="J229" t="str">
        <f t="shared" ref="J229:J261" si="61">"N"</f>
        <v>N</v>
      </c>
    </row>
    <row r="230" spans="1:10">
      <c r="A230" t="str">
        <f>"0319UR21"</f>
        <v>0319UR21</v>
      </c>
      <c r="B230" t="str">
        <f>"ACT"</f>
        <v>ACT</v>
      </c>
      <c r="C230" t="str">
        <f>"08"</f>
        <v>08</v>
      </c>
      <c r="D230" t="str">
        <f>"TQP00315"</f>
        <v>TQP00315</v>
      </c>
      <c r="E230" t="str">
        <f>"967389"</f>
        <v>967389</v>
      </c>
      <c r="F230" t="str">
        <f>"SERIES 4000 "</f>
        <v xml:space="preserve">SERIES 4000 </v>
      </c>
      <c r="G230" t="str">
        <f>"DAGE PULL TESTER  1"</f>
        <v>DAGE PULL TESTER  1</v>
      </c>
      <c r="H230" t="str">
        <f>"garaiza"</f>
        <v>garaiza</v>
      </c>
      <c r="I230" t="str">
        <f>"022"</f>
        <v>022</v>
      </c>
      <c r="J230" t="str">
        <f t="shared" si="61"/>
        <v>N</v>
      </c>
    </row>
    <row r="231" spans="1:10">
      <c r="A231" t="str">
        <f>"LE-072-00404"</f>
        <v>LE-072-00404</v>
      </c>
      <c r="B231" t="str">
        <f>"ACT"</f>
        <v>ACT</v>
      </c>
      <c r="C231" t="str">
        <f>"09"</f>
        <v>09</v>
      </c>
      <c r="D231" t="str">
        <f>"TQP00362"</f>
        <v>TQP00362</v>
      </c>
      <c r="E231" t="str">
        <f>"2036780"</f>
        <v>2036780</v>
      </c>
      <c r="F231" t="str">
        <f>"SERIES 4000 "</f>
        <v xml:space="preserve">SERIES 4000 </v>
      </c>
      <c r="G231" t="str">
        <f>"SHEAR  TESTER"</f>
        <v>SHEAR  TESTER</v>
      </c>
      <c r="H231" t="str">
        <f>"rramones"</f>
        <v>rramones</v>
      </c>
      <c r="I231" t="str">
        <f>"022"</f>
        <v>022</v>
      </c>
      <c r="J231" t="str">
        <f t="shared" si="61"/>
        <v>N</v>
      </c>
    </row>
    <row r="232" spans="1:10">
      <c r="A232" t="str">
        <f>"LE-072-00380"</f>
        <v>LE-072-00380</v>
      </c>
      <c r="B232" t="str">
        <f>"ACT"</f>
        <v>ACT</v>
      </c>
      <c r="C232" t="str">
        <f>"04"</f>
        <v>04</v>
      </c>
      <c r="D232" t="str">
        <f>"TQP00307"</f>
        <v>TQP00307</v>
      </c>
      <c r="E232" t="str">
        <f>"2006580"</f>
        <v>2006580</v>
      </c>
      <c r="F232" t="str">
        <f>"SERIES 4000 "</f>
        <v xml:space="preserve">SERIES 4000 </v>
      </c>
      <c r="G232" t="str">
        <f>"DAGE  PULL TESTER"</f>
        <v>DAGE  PULL TESTER</v>
      </c>
      <c r="H232" t="str">
        <f>"rramones"</f>
        <v>rramones</v>
      </c>
      <c r="I232" t="str">
        <f>"022"</f>
        <v>022</v>
      </c>
      <c r="J232" t="str">
        <f t="shared" si="61"/>
        <v>N</v>
      </c>
    </row>
    <row r="233" spans="1:10">
      <c r="A233" t="str">
        <f>"LE-072-00389"</f>
        <v>LE-072-00389</v>
      </c>
      <c r="B233" t="str">
        <f>"ACT"</f>
        <v>ACT</v>
      </c>
      <c r="C233" t="str">
        <f>"13"</f>
        <v>13</v>
      </c>
      <c r="D233" t="str">
        <f>"TQP00304"</f>
        <v>TQP00304</v>
      </c>
      <c r="E233" t="str">
        <f>"2031070"</f>
        <v>2031070</v>
      </c>
      <c r="F233" t="str">
        <f>"SERIES 4000 "</f>
        <v xml:space="preserve">SERIES 4000 </v>
      </c>
      <c r="G233" t="str">
        <f>"DAGE  PULL TESTER"</f>
        <v>DAGE  PULL TESTER</v>
      </c>
      <c r="H233" t="str">
        <f>"lecortez"</f>
        <v>lecortez</v>
      </c>
      <c r="I233" t="str">
        <f>"022"</f>
        <v>022</v>
      </c>
      <c r="J233" t="str">
        <f t="shared" si="61"/>
        <v>N</v>
      </c>
    </row>
    <row r="234" spans="1:10">
      <c r="A234" t="str">
        <f>"LE-010-09044"</f>
        <v>LE-010-09044</v>
      </c>
      <c r="B234" t="str">
        <f>"INACT"</f>
        <v>INACT</v>
      </c>
      <c r="C234" t="str">
        <f>"19"</f>
        <v>19</v>
      </c>
      <c r="D234" t="str">
        <f t="shared" ref="D234:D241" si="62">"N/A"</f>
        <v>N/A</v>
      </c>
      <c r="E234" t="str">
        <f>"696048T"</f>
        <v>696048T</v>
      </c>
      <c r="F234" t="str">
        <f t="shared" ref="F234:F239" si="63">"1500XL"</f>
        <v>1500XL</v>
      </c>
      <c r="G234" t="str">
        <f t="shared" ref="G234:G241" si="64">"DISPENSER"</f>
        <v>DISPENSER</v>
      </c>
      <c r="H234" t="str">
        <f>"zfernandez"</f>
        <v>zfernandez</v>
      </c>
      <c r="I234" t="str">
        <f t="shared" ref="I234:I241" si="65">"024"</f>
        <v>024</v>
      </c>
      <c r="J234" t="str">
        <f t="shared" si="61"/>
        <v>N</v>
      </c>
    </row>
    <row r="235" spans="1:10">
      <c r="A235" t="str">
        <f>"LE-010-29042"</f>
        <v>LE-010-29042</v>
      </c>
      <c r="B235" t="str">
        <f>"INACT"</f>
        <v>INACT</v>
      </c>
      <c r="C235" t="str">
        <f>"10"</f>
        <v>10</v>
      </c>
      <c r="D235" t="str">
        <f t="shared" si="62"/>
        <v>N/A</v>
      </c>
      <c r="E235" t="str">
        <f>"696042T"</f>
        <v>696042T</v>
      </c>
      <c r="F235" t="str">
        <f t="shared" si="63"/>
        <v>1500XL</v>
      </c>
      <c r="G235" t="str">
        <f t="shared" si="64"/>
        <v>DISPENSER</v>
      </c>
      <c r="H235" t="str">
        <f>"gramirez"</f>
        <v>gramirez</v>
      </c>
      <c r="I235" t="str">
        <f t="shared" si="65"/>
        <v>024</v>
      </c>
      <c r="J235" t="str">
        <f t="shared" si="61"/>
        <v>N</v>
      </c>
    </row>
    <row r="236" spans="1:10">
      <c r="A236" t="str">
        <f>"LE-010-29041"</f>
        <v>LE-010-29041</v>
      </c>
      <c r="B236" t="str">
        <f>"ACT"</f>
        <v>ACT</v>
      </c>
      <c r="C236" t="str">
        <f>"10"</f>
        <v>10</v>
      </c>
      <c r="D236" t="str">
        <f t="shared" si="62"/>
        <v>N/A</v>
      </c>
      <c r="E236" t="str">
        <f>"704124T"</f>
        <v>704124T</v>
      </c>
      <c r="F236" t="str">
        <f t="shared" si="63"/>
        <v>1500XL</v>
      </c>
      <c r="G236" t="str">
        <f t="shared" si="64"/>
        <v>DISPENSER</v>
      </c>
      <c r="H236" t="str">
        <f>"gramirez"</f>
        <v>gramirez</v>
      </c>
      <c r="I236" t="str">
        <f t="shared" si="65"/>
        <v>024</v>
      </c>
      <c r="J236" t="str">
        <f t="shared" si="61"/>
        <v>N</v>
      </c>
    </row>
    <row r="237" spans="1:10">
      <c r="A237" t="str">
        <f>"LE-010-29040"</f>
        <v>LE-010-29040</v>
      </c>
      <c r="B237" t="str">
        <f>"INACT"</f>
        <v>INACT</v>
      </c>
      <c r="C237" t="str">
        <f>"10"</f>
        <v>10</v>
      </c>
      <c r="D237" t="str">
        <f t="shared" si="62"/>
        <v>N/A</v>
      </c>
      <c r="E237" t="str">
        <f>"704123T"</f>
        <v>704123T</v>
      </c>
      <c r="F237" t="str">
        <f t="shared" si="63"/>
        <v>1500XL</v>
      </c>
      <c r="G237" t="str">
        <f t="shared" si="64"/>
        <v>DISPENSER</v>
      </c>
      <c r="H237" t="str">
        <f>"gramirez"</f>
        <v>gramirez</v>
      </c>
      <c r="I237" t="str">
        <f t="shared" si="65"/>
        <v>024</v>
      </c>
      <c r="J237" t="str">
        <f t="shared" si="61"/>
        <v>N</v>
      </c>
    </row>
    <row r="238" spans="1:10">
      <c r="A238" t="str">
        <f>"LE-010-29046"</f>
        <v>LE-010-29046</v>
      </c>
      <c r="B238" t="str">
        <f>"ACT"</f>
        <v>ACT</v>
      </c>
      <c r="C238" t="str">
        <f>"31"</f>
        <v>31</v>
      </c>
      <c r="D238" t="str">
        <f t="shared" si="62"/>
        <v>N/A</v>
      </c>
      <c r="E238" t="str">
        <f>"704125T"</f>
        <v>704125T</v>
      </c>
      <c r="F238" t="str">
        <f t="shared" si="63"/>
        <v>1500XL</v>
      </c>
      <c r="G238" t="str">
        <f t="shared" si="64"/>
        <v>DISPENSER</v>
      </c>
      <c r="H238" t="str">
        <f>"jhernandez"</f>
        <v>jhernandez</v>
      </c>
      <c r="I238" t="str">
        <f t="shared" si="65"/>
        <v>024</v>
      </c>
      <c r="J238" t="str">
        <f t="shared" si="61"/>
        <v>N</v>
      </c>
    </row>
    <row r="239" spans="1:10">
      <c r="A239" t="str">
        <f>"LE-010-29047"</f>
        <v>LE-010-29047</v>
      </c>
      <c r="B239" t="str">
        <f>"INACT"</f>
        <v>INACT</v>
      </c>
      <c r="C239" t="str">
        <f>"10"</f>
        <v>10</v>
      </c>
      <c r="D239" t="str">
        <f t="shared" si="62"/>
        <v>N/A</v>
      </c>
      <c r="E239" t="str">
        <f>"696041T"</f>
        <v>696041T</v>
      </c>
      <c r="F239" t="str">
        <f t="shared" si="63"/>
        <v>1500XL</v>
      </c>
      <c r="G239" t="str">
        <f t="shared" si="64"/>
        <v>DISPENSER</v>
      </c>
      <c r="H239" t="str">
        <f>"gramirez"</f>
        <v>gramirez</v>
      </c>
      <c r="I239" t="str">
        <f t="shared" si="65"/>
        <v>024</v>
      </c>
      <c r="J239" t="str">
        <f t="shared" si="61"/>
        <v>N</v>
      </c>
    </row>
    <row r="240" spans="1:10">
      <c r="A240" t="str">
        <f>"LE-010-23912"</f>
        <v>LE-010-23912</v>
      </c>
      <c r="B240" t="str">
        <f>"INACT"</f>
        <v>INACT</v>
      </c>
      <c r="C240" t="str">
        <f>"20"</f>
        <v>20</v>
      </c>
      <c r="D240" t="str">
        <f t="shared" si="62"/>
        <v>N/A</v>
      </c>
      <c r="E240" t="str">
        <f>"663506T"</f>
        <v>663506T</v>
      </c>
      <c r="F240" t="str">
        <f>"1000"</f>
        <v>1000</v>
      </c>
      <c r="G240" t="str">
        <f t="shared" si="64"/>
        <v>DISPENSER</v>
      </c>
      <c r="H240" t="str">
        <f>"jcastaneda"</f>
        <v>jcastaneda</v>
      </c>
      <c r="I240" t="str">
        <f t="shared" si="65"/>
        <v>024</v>
      </c>
      <c r="J240" t="str">
        <f t="shared" si="61"/>
        <v>N</v>
      </c>
    </row>
    <row r="241" spans="1:10">
      <c r="A241" t="str">
        <f>"LE-010-28761"</f>
        <v>LE-010-28761</v>
      </c>
      <c r="B241" t="str">
        <f>"INACT"</f>
        <v>INACT</v>
      </c>
      <c r="C241" t="str">
        <f>"19"</f>
        <v>19</v>
      </c>
      <c r="D241" t="str">
        <f t="shared" si="62"/>
        <v>N/A</v>
      </c>
      <c r="E241" t="str">
        <f>"611573"</f>
        <v>611573</v>
      </c>
      <c r="F241" t="str">
        <f>"900"</f>
        <v>900</v>
      </c>
      <c r="G241" t="str">
        <f t="shared" si="64"/>
        <v>DISPENSER</v>
      </c>
      <c r="H241" t="str">
        <f>"jcastaneda"</f>
        <v>jcastaneda</v>
      </c>
      <c r="I241" t="str">
        <f t="shared" si="65"/>
        <v>024</v>
      </c>
      <c r="J241" t="str">
        <f t="shared" si="61"/>
        <v>N</v>
      </c>
    </row>
    <row r="242" spans="1:10">
      <c r="A242" t="str">
        <f>"0442NP03"</f>
        <v>0442NP03</v>
      </c>
      <c r="B242" t="str">
        <f t="shared" ref="B242:B250" si="66">"ACT"</f>
        <v>ACT</v>
      </c>
      <c r="C242" t="str">
        <f>"43"</f>
        <v>43</v>
      </c>
      <c r="D242" t="str">
        <f>"TQP 09225"</f>
        <v>TQP 09225</v>
      </c>
      <c r="E242" t="str">
        <f>"4"</f>
        <v>4</v>
      </c>
      <c r="F242" t="str">
        <f>"MVF-524"</f>
        <v>MVF-524</v>
      </c>
      <c r="G242" t="str">
        <f t="shared" ref="G242:G247" si="67">"FLOW HOOD"</f>
        <v>FLOW HOOD</v>
      </c>
      <c r="H242" t="str">
        <f>"vvazquez"</f>
        <v>vvazquez</v>
      </c>
      <c r="I242" t="str">
        <f t="shared" ref="I242:I247" si="68">"039"</f>
        <v>039</v>
      </c>
      <c r="J242" t="str">
        <f t="shared" si="61"/>
        <v>N</v>
      </c>
    </row>
    <row r="243" spans="1:10">
      <c r="A243" t="str">
        <f>"0442NP04"</f>
        <v>0442NP04</v>
      </c>
      <c r="B243" t="str">
        <f t="shared" si="66"/>
        <v>ACT</v>
      </c>
      <c r="C243" t="str">
        <f>"27"</f>
        <v>27</v>
      </c>
      <c r="D243" t="str">
        <f>"TQP 09227"</f>
        <v>TQP 09227</v>
      </c>
      <c r="E243" t="str">
        <f>"IA00092-2"</f>
        <v>IA00092-2</v>
      </c>
      <c r="F243" t="str">
        <f>"MVF-524"</f>
        <v>MVF-524</v>
      </c>
      <c r="G243" t="str">
        <f t="shared" si="67"/>
        <v>FLOW HOOD</v>
      </c>
      <c r="H243" t="str">
        <f>"mjezzini"</f>
        <v>mjezzini</v>
      </c>
      <c r="I243" t="str">
        <f t="shared" si="68"/>
        <v>039</v>
      </c>
      <c r="J243" t="str">
        <f t="shared" si="61"/>
        <v>N</v>
      </c>
    </row>
    <row r="244" spans="1:10">
      <c r="A244" t="str">
        <f>"0442NP05"</f>
        <v>0442NP05</v>
      </c>
      <c r="B244" t="str">
        <f t="shared" si="66"/>
        <v>ACT</v>
      </c>
      <c r="C244" t="str">
        <f>"23"</f>
        <v>23</v>
      </c>
      <c r="D244" t="str">
        <f>"TQP 09228"</f>
        <v>TQP 09228</v>
      </c>
      <c r="E244" t="str">
        <f>"N/A"</f>
        <v>N/A</v>
      </c>
      <c r="F244" t="str">
        <f>"MVF-524"</f>
        <v>MVF-524</v>
      </c>
      <c r="G244" t="str">
        <f t="shared" si="67"/>
        <v>FLOW HOOD</v>
      </c>
      <c r="H244" t="str">
        <f>"hcharles"</f>
        <v>hcharles</v>
      </c>
      <c r="I244" t="str">
        <f t="shared" si="68"/>
        <v>039</v>
      </c>
      <c r="J244" t="str">
        <f t="shared" si="61"/>
        <v>N</v>
      </c>
    </row>
    <row r="245" spans="1:10">
      <c r="A245" t="str">
        <f>"0442NP02"</f>
        <v>0442NP02</v>
      </c>
      <c r="B245" t="str">
        <f t="shared" si="66"/>
        <v>ACT</v>
      </c>
      <c r="C245" t="str">
        <f>"29"</f>
        <v>29</v>
      </c>
      <c r="D245" t="str">
        <f>"TQP09226"</f>
        <v>TQP09226</v>
      </c>
      <c r="E245" t="str">
        <f>"N/A"</f>
        <v>N/A</v>
      </c>
      <c r="F245" t="str">
        <f>"MVF-524"</f>
        <v>MVF-524</v>
      </c>
      <c r="G245" t="str">
        <f t="shared" si="67"/>
        <v>FLOW HOOD</v>
      </c>
      <c r="H245" t="str">
        <f>"jcastaneda"</f>
        <v>jcastaneda</v>
      </c>
      <c r="I245" t="str">
        <f t="shared" si="68"/>
        <v>039</v>
      </c>
      <c r="J245" t="str">
        <f t="shared" si="61"/>
        <v>N</v>
      </c>
    </row>
    <row r="246" spans="1:10">
      <c r="A246" t="str">
        <f>"0319UR46"</f>
        <v>0319UR46</v>
      </c>
      <c r="B246" t="str">
        <f t="shared" si="66"/>
        <v>ACT</v>
      </c>
      <c r="C246" t="str">
        <f>"30"</f>
        <v>30</v>
      </c>
      <c r="D246" t="str">
        <f>"TQP09307"</f>
        <v>TQP09307</v>
      </c>
      <c r="E246" t="str">
        <f>"IA00116-5"</f>
        <v>IA00116-5</v>
      </c>
      <c r="F246" t="str">
        <f>"VFS-830"</f>
        <v>VFS-830</v>
      </c>
      <c r="G246" t="str">
        <f t="shared" si="67"/>
        <v>FLOW HOOD</v>
      </c>
      <c r="H246" t="str">
        <f>"rramones"</f>
        <v>rramones</v>
      </c>
      <c r="I246" t="str">
        <f t="shared" si="68"/>
        <v>039</v>
      </c>
      <c r="J246" t="str">
        <f t="shared" si="61"/>
        <v>N</v>
      </c>
    </row>
    <row r="247" spans="1:10">
      <c r="A247" t="str">
        <f>"0319UR01"</f>
        <v>0319UR01</v>
      </c>
      <c r="B247" t="str">
        <f t="shared" si="66"/>
        <v>ACT</v>
      </c>
      <c r="C247" t="str">
        <f>"27"</f>
        <v>27</v>
      </c>
      <c r="D247" t="str">
        <f>"TQP09308"</f>
        <v>TQP09308</v>
      </c>
      <c r="E247" t="str">
        <f>"IA00116-3"</f>
        <v>IA00116-3</v>
      </c>
      <c r="F247" t="str">
        <f>"VFS-830"</f>
        <v>VFS-830</v>
      </c>
      <c r="G247" t="str">
        <f t="shared" si="67"/>
        <v>FLOW HOOD</v>
      </c>
      <c r="H247" t="str">
        <f>"sarteaga"</f>
        <v>sarteaga</v>
      </c>
      <c r="I247" t="str">
        <f t="shared" si="68"/>
        <v>039</v>
      </c>
      <c r="J247" t="str">
        <f t="shared" si="61"/>
        <v>N</v>
      </c>
    </row>
    <row r="248" spans="1:10">
      <c r="A248" t="str">
        <f>"LE-041-00920"</f>
        <v>LE-041-00920</v>
      </c>
      <c r="B248" t="str">
        <f t="shared" si="66"/>
        <v>ACT</v>
      </c>
      <c r="C248" t="str">
        <f t="shared" ref="C248:C253" si="69">"16"</f>
        <v>16</v>
      </c>
      <c r="D248" t="str">
        <f>"N/A"</f>
        <v>N/A</v>
      </c>
      <c r="E248" t="str">
        <f>"MOOK03930"</f>
        <v>MOOK03930</v>
      </c>
      <c r="F248" t="str">
        <f>"ADT-070-ADJ"</f>
        <v>ADT-070-ADJ</v>
      </c>
      <c r="G248" t="str">
        <f>"FREEZER ( CUARTO FRIO- CAFETERIA)"</f>
        <v>FREEZER ( CUARTO FRIO- CAFETERIA)</v>
      </c>
      <c r="H248" t="str">
        <f t="shared" ref="H248:H253" si="70">"jmaldonado"</f>
        <v>jmaldonado</v>
      </c>
      <c r="I248" t="str">
        <f>"081"</f>
        <v>081</v>
      </c>
      <c r="J248" t="str">
        <f t="shared" si="61"/>
        <v>N</v>
      </c>
    </row>
    <row r="249" spans="1:10">
      <c r="A249" t="str">
        <f>"LE-041-00919"</f>
        <v>LE-041-00919</v>
      </c>
      <c r="B249" t="str">
        <f t="shared" si="66"/>
        <v>ACT</v>
      </c>
      <c r="C249" t="str">
        <f t="shared" si="69"/>
        <v>16</v>
      </c>
      <c r="D249" t="str">
        <f>"TQP14405"</f>
        <v>TQP14405</v>
      </c>
      <c r="E249" t="str">
        <f>"63G0030BB071"</f>
        <v>63G0030BB071</v>
      </c>
      <c r="F249" t="str">
        <f>"B430AP"</f>
        <v>B430AP</v>
      </c>
      <c r="G249" t="str">
        <f>"ICE MAKER MACHINE (CAFETERIA)"</f>
        <v>ICE MAKER MACHINE (CAFETERIA)</v>
      </c>
      <c r="H249" t="str">
        <f t="shared" si="70"/>
        <v>jmaldonado</v>
      </c>
      <c r="I249" t="str">
        <f>"089"</f>
        <v>089</v>
      </c>
      <c r="J249" t="str">
        <f t="shared" si="61"/>
        <v>N</v>
      </c>
    </row>
    <row r="250" spans="1:10">
      <c r="A250" t="str">
        <f>"LE-041-00916"</f>
        <v>LE-041-00916</v>
      </c>
      <c r="B250" t="str">
        <f t="shared" si="66"/>
        <v>ACT</v>
      </c>
      <c r="C250" t="str">
        <f t="shared" si="69"/>
        <v>16</v>
      </c>
      <c r="D250" t="str">
        <f>"TQP14370"</f>
        <v>TQP14370</v>
      </c>
      <c r="E250" t="str">
        <f>"S31K-486098-TK"</f>
        <v>S31K-486098-TK</v>
      </c>
      <c r="F250" t="str">
        <f>"ULT1090-5-A31"</f>
        <v>ULT1090-5-A31</v>
      </c>
      <c r="G250" t="str">
        <f>"FREEZER (ALMACEN)"</f>
        <v>FREEZER (ALMACEN)</v>
      </c>
      <c r="H250" t="str">
        <f t="shared" si="70"/>
        <v>jmaldonado</v>
      </c>
      <c r="I250" t="str">
        <f>"060"</f>
        <v>060</v>
      </c>
      <c r="J250" t="str">
        <f t="shared" si="61"/>
        <v>N</v>
      </c>
    </row>
    <row r="251" spans="1:10">
      <c r="A251" t="str">
        <f>"LE-010-24368"</f>
        <v>LE-010-24368</v>
      </c>
      <c r="B251" t="str">
        <f>"INACT"</f>
        <v>INACT</v>
      </c>
      <c r="C251" t="str">
        <f t="shared" si="69"/>
        <v>16</v>
      </c>
      <c r="D251" t="str">
        <f>"TQP14369"</f>
        <v>TQP14369</v>
      </c>
      <c r="E251" t="str">
        <f>"ULT390-5-A31"</f>
        <v>ULT390-5-A31</v>
      </c>
      <c r="F251" t="str">
        <f>"P06K-476171-PK"</f>
        <v>P06K-476171-PK</v>
      </c>
      <c r="G251" t="str">
        <f>"FREEZER (ALMACEN)"</f>
        <v>FREEZER (ALMACEN)</v>
      </c>
      <c r="H251" t="str">
        <f t="shared" si="70"/>
        <v>jmaldonado</v>
      </c>
      <c r="I251" t="str">
        <f>"060"</f>
        <v>060</v>
      </c>
      <c r="J251" t="str">
        <f t="shared" si="61"/>
        <v>N</v>
      </c>
    </row>
    <row r="252" spans="1:10">
      <c r="A252" t="str">
        <f>"LE-100-001"</f>
        <v>LE-100-001</v>
      </c>
      <c r="B252" t="str">
        <f>"INACT"</f>
        <v>INACT</v>
      </c>
      <c r="C252" t="str">
        <f t="shared" si="69"/>
        <v>16</v>
      </c>
      <c r="D252" t="str">
        <f>"TQP14511"</f>
        <v>TQP14511</v>
      </c>
      <c r="E252" t="str">
        <f>"025G328388-TG"</f>
        <v>025G328388-TG</v>
      </c>
      <c r="F252" t="str">
        <f>"CFRC790-7-A14"</f>
        <v>CFRC790-7-A14</v>
      </c>
      <c r="G252" t="str">
        <f>"FREEZER (ALMACEN)"</f>
        <v>FREEZER (ALMACEN)</v>
      </c>
      <c r="H252" t="str">
        <f t="shared" si="70"/>
        <v>jmaldonado</v>
      </c>
      <c r="I252" t="str">
        <f>"060"</f>
        <v>060</v>
      </c>
      <c r="J252" t="str">
        <f t="shared" si="61"/>
        <v>N</v>
      </c>
    </row>
    <row r="253" spans="1:10">
      <c r="A253" t="str">
        <f>"LE-041-00915"</f>
        <v>LE-041-00915</v>
      </c>
      <c r="B253" t="str">
        <f>"INACT"</f>
        <v>INACT</v>
      </c>
      <c r="C253" t="str">
        <f t="shared" si="69"/>
        <v>16</v>
      </c>
      <c r="D253" t="str">
        <f>"TQP01579/14371"</f>
        <v>TQP01579/14371</v>
      </c>
      <c r="E253" t="str">
        <f>"71230-190983XE"</f>
        <v>71230-190983XE</v>
      </c>
      <c r="F253" t="str">
        <f>"N/A"</f>
        <v>N/A</v>
      </c>
      <c r="G253" t="str">
        <f>"FREEZER (MODEL SHOP FIBER)"</f>
        <v>FREEZER (MODEL SHOP FIBER)</v>
      </c>
      <c r="H253" t="str">
        <f t="shared" si="70"/>
        <v>jmaldonado</v>
      </c>
      <c r="I253" t="str">
        <f>"060"</f>
        <v>060</v>
      </c>
      <c r="J253" t="str">
        <f t="shared" si="61"/>
        <v>N</v>
      </c>
    </row>
    <row r="254" spans="1:10">
      <c r="A254" t="str">
        <f>"0712OS00"</f>
        <v>0712OS00</v>
      </c>
      <c r="B254" t="str">
        <f>"ACT"</f>
        <v>ACT</v>
      </c>
      <c r="C254" t="str">
        <f>"13"</f>
        <v>13</v>
      </c>
      <c r="D254" t="str">
        <f>"TQP00368"</f>
        <v>TQP00368</v>
      </c>
      <c r="E254" t="str">
        <f>"019560153"</f>
        <v>019560153</v>
      </c>
      <c r="F254" t="str">
        <f>"SAFEAIRE"</f>
        <v>SAFEAIRE</v>
      </c>
      <c r="G254" t="str">
        <f>"FUME HOOD"</f>
        <v>FUME HOOD</v>
      </c>
      <c r="H254" t="str">
        <f>"vvazquez"</f>
        <v>vvazquez</v>
      </c>
      <c r="I254" t="str">
        <f>"088"</f>
        <v>088</v>
      </c>
      <c r="J254" t="str">
        <f t="shared" si="61"/>
        <v>N</v>
      </c>
    </row>
    <row r="255" spans="1:10">
      <c r="A255" t="str">
        <f>"LE-053-02975"</f>
        <v>LE-053-02975</v>
      </c>
      <c r="B255" t="str">
        <f>"INACT"</f>
        <v>INACT</v>
      </c>
      <c r="C255" t="str">
        <f>"14"</f>
        <v>14</v>
      </c>
      <c r="D255" t="str">
        <f>"TQP00374"</f>
        <v>TQP00374</v>
      </c>
      <c r="E255" t="str">
        <f>"5515"</f>
        <v>5515</v>
      </c>
      <c r="F255" t="str">
        <f>"1457"</f>
        <v>1457</v>
      </c>
      <c r="G255" t="str">
        <f>"FUME HOOD"</f>
        <v>FUME HOOD</v>
      </c>
      <c r="H255" t="str">
        <f>"vvazquez"</f>
        <v>vvazquez</v>
      </c>
      <c r="I255" t="str">
        <f>"088"</f>
        <v>088</v>
      </c>
      <c r="J255" t="str">
        <f t="shared" si="61"/>
        <v>N</v>
      </c>
    </row>
    <row r="256" spans="1:10">
      <c r="A256" t="str">
        <f>"0712LX00"</f>
        <v>0712LX00</v>
      </c>
      <c r="B256" t="str">
        <f>"INACT"</f>
        <v>INACT</v>
      </c>
      <c r="C256" t="str">
        <f>"01"</f>
        <v>01</v>
      </c>
      <c r="D256" t="str">
        <f>"TQP06199"</f>
        <v>TQP06199</v>
      </c>
      <c r="E256" t="str">
        <f>"N/A"</f>
        <v>N/A</v>
      </c>
      <c r="F256" t="str">
        <f>"N/A"</f>
        <v>N/A</v>
      </c>
      <c r="G256" t="str">
        <f>"FUNCIONAL TEST SET LX4 ROSA"</f>
        <v>FUNCIONAL TEST SET LX4 ROSA</v>
      </c>
      <c r="H256" t="str">
        <f>"gbejar"</f>
        <v>gbejar</v>
      </c>
      <c r="I256" t="str">
        <f>"081"</f>
        <v>081</v>
      </c>
      <c r="J256" t="str">
        <f t="shared" si="61"/>
        <v>N</v>
      </c>
    </row>
    <row r="257" spans="1:10">
      <c r="A257" t="str">
        <f>"LE-010-26052"</f>
        <v>LE-010-26052</v>
      </c>
      <c r="B257" t="str">
        <f>"INACT"</f>
        <v>INACT</v>
      </c>
      <c r="C257" t="str">
        <f>"19"</f>
        <v>19</v>
      </c>
      <c r="D257" t="str">
        <f>"TQP09393"</f>
        <v>TQP09393</v>
      </c>
      <c r="E257" t="str">
        <f>"N01037"</f>
        <v>N01037</v>
      </c>
      <c r="F257" t="str">
        <f>"3321"</f>
        <v>3321</v>
      </c>
      <c r="G257" t="str">
        <f>"LCZ METER"</f>
        <v>LCZ METER</v>
      </c>
      <c r="H257" t="str">
        <f>"zfernandez"</f>
        <v>zfernandez</v>
      </c>
      <c r="I257" t="str">
        <f>"042"</f>
        <v>042</v>
      </c>
      <c r="J257" t="str">
        <f t="shared" si="61"/>
        <v>N</v>
      </c>
    </row>
    <row r="258" spans="1:10">
      <c r="A258" t="str">
        <f>"LE-011-01640"</f>
        <v>LE-011-01640</v>
      </c>
      <c r="B258" t="str">
        <f>"ACT"</f>
        <v>ACT</v>
      </c>
      <c r="C258" t="str">
        <f>"10"</f>
        <v>10</v>
      </c>
      <c r="D258" t="str">
        <f>"TQP00379"</f>
        <v>TQP00379</v>
      </c>
      <c r="E258" t="str">
        <f>"9949"</f>
        <v>9949</v>
      </c>
      <c r="F258" t="str">
        <f>"7316A-44A-45"</f>
        <v>7316A-44A-45</v>
      </c>
      <c r="G258" t="str">
        <f>"MANUAL DIE BONDER"</f>
        <v>MANUAL DIE BONDER</v>
      </c>
      <c r="H258" t="str">
        <f>"gramirez"</f>
        <v>gramirez</v>
      </c>
      <c r="I258" t="str">
        <f>"076"</f>
        <v>076</v>
      </c>
      <c r="J258" t="str">
        <f t="shared" si="61"/>
        <v>N</v>
      </c>
    </row>
    <row r="259" spans="1:10">
      <c r="A259" t="str">
        <f>"LE-011-01720"</f>
        <v>LE-011-01720</v>
      </c>
      <c r="B259" t="str">
        <f>"INACT"</f>
        <v>INACT</v>
      </c>
      <c r="C259" t="str">
        <f>"10"</f>
        <v>10</v>
      </c>
      <c r="D259" t="str">
        <f>"TQP00382"</f>
        <v>TQP00382</v>
      </c>
      <c r="E259" t="str">
        <f>"5165"</f>
        <v>5165</v>
      </c>
      <c r="F259" t="str">
        <f>"7316A-11A-12-45C"</f>
        <v>7316A-11A-12-45C</v>
      </c>
      <c r="G259" t="str">
        <f>"MANUAL DIE BONDER"</f>
        <v>MANUAL DIE BONDER</v>
      </c>
      <c r="H259" t="str">
        <f>"gramirez"</f>
        <v>gramirez</v>
      </c>
      <c r="I259" t="str">
        <f>"076"</f>
        <v>076</v>
      </c>
      <c r="J259" t="str">
        <f t="shared" si="61"/>
        <v>N</v>
      </c>
    </row>
    <row r="260" spans="1:10">
      <c r="A260" t="str">
        <f>"LE-011-01867"</f>
        <v>LE-011-01867</v>
      </c>
      <c r="B260" t="str">
        <f>"ACT"</f>
        <v>ACT</v>
      </c>
      <c r="C260" t="str">
        <f>"10"</f>
        <v>10</v>
      </c>
      <c r="D260" t="str">
        <f>"TQP00384"</f>
        <v>TQP00384</v>
      </c>
      <c r="E260" t="str">
        <f>"14642"</f>
        <v>14642</v>
      </c>
      <c r="F260" t="str">
        <f>"7372B"</f>
        <v>7372B</v>
      </c>
      <c r="G260" t="str">
        <f>"MANUAL DIE BONDER"</f>
        <v>MANUAL DIE BONDER</v>
      </c>
      <c r="H260" t="str">
        <f>"gramirez"</f>
        <v>gramirez</v>
      </c>
      <c r="I260" t="str">
        <f>"076"</f>
        <v>076</v>
      </c>
      <c r="J260" t="str">
        <f t="shared" si="61"/>
        <v>N</v>
      </c>
    </row>
    <row r="261" spans="1:10">
      <c r="A261" t="str">
        <f>"LE-089-04701"</f>
        <v>LE-089-04701</v>
      </c>
      <c r="B261" t="str">
        <f>"ACT"</f>
        <v>ACT</v>
      </c>
      <c r="C261" t="str">
        <f>"10"</f>
        <v>10</v>
      </c>
      <c r="D261" t="str">
        <f>"TQP00391"</f>
        <v>TQP00391</v>
      </c>
      <c r="E261" t="str">
        <f>"N/A"</f>
        <v>N/A</v>
      </c>
      <c r="F261" t="str">
        <f>"TYP355110"</f>
        <v>TYP355110</v>
      </c>
      <c r="G261" t="str">
        <f>"MICROSCOPE DOUBLE"</f>
        <v>MICROSCOPE DOUBLE</v>
      </c>
      <c r="H261" t="str">
        <f>"gramirez"</f>
        <v>gramirez</v>
      </c>
      <c r="I261" t="str">
        <f>"077"</f>
        <v>077</v>
      </c>
      <c r="J261" t="str">
        <f t="shared" si="61"/>
        <v>N</v>
      </c>
    </row>
    <row r="262" spans="1:10">
      <c r="A262" t="str">
        <f>"0319UR03"</f>
        <v>0319UR03</v>
      </c>
      <c r="B262" t="str">
        <f>"INACT"</f>
        <v>INACT</v>
      </c>
      <c r="C262" t="str">
        <f>"08"</f>
        <v>08</v>
      </c>
      <c r="D262" t="str">
        <f>"TQP00310"</f>
        <v>TQP00310</v>
      </c>
      <c r="E262" t="str">
        <f>"N/A"</f>
        <v>N/A</v>
      </c>
      <c r="F262" t="str">
        <f>"MB-1"</f>
        <v>MB-1</v>
      </c>
      <c r="G262" t="str">
        <f>"MULTI DIE-BONDER # 01"</f>
        <v>MULTI DIE-BONDER # 01</v>
      </c>
      <c r="H262" t="str">
        <f>"garaiza"</f>
        <v>garaiza</v>
      </c>
      <c r="I262" t="str">
        <f>"046"</f>
        <v>046</v>
      </c>
      <c r="J262" t="str">
        <f>"Y"</f>
        <v>Y</v>
      </c>
    </row>
    <row r="263" spans="1:10">
      <c r="A263" t="str">
        <f>"LE-058-00778"</f>
        <v>LE-058-00778</v>
      </c>
      <c r="B263" t="str">
        <f>"INACT"</f>
        <v>INACT</v>
      </c>
      <c r="C263" t="str">
        <f>"10"</f>
        <v>10</v>
      </c>
      <c r="D263" t="str">
        <f>"TQP00025"</f>
        <v>TQP00025</v>
      </c>
      <c r="E263" t="str">
        <f>"N/A"</f>
        <v>N/A</v>
      </c>
      <c r="F263" t="str">
        <f>"N/A"</f>
        <v>N/A</v>
      </c>
      <c r="G263" t="str">
        <f>"LASER ALIGNMENT RACK "</f>
        <v xml:space="preserve">LASER ALIGNMENT RACK </v>
      </c>
      <c r="H263" t="str">
        <f>"jcastaneda"</f>
        <v>jcastaneda</v>
      </c>
      <c r="I263" t="str">
        <f>"003"</f>
        <v>003</v>
      </c>
      <c r="J263" t="str">
        <f t="shared" ref="J263:J326" si="71">"N"</f>
        <v>N</v>
      </c>
    </row>
    <row r="264" spans="1:10">
      <c r="A264" t="str">
        <f>"LE-058-00727"</f>
        <v>LE-058-00727</v>
      </c>
      <c r="B264" t="str">
        <f>"INACT"</f>
        <v>INACT</v>
      </c>
      <c r="C264" t="str">
        <f>"10"</f>
        <v>10</v>
      </c>
      <c r="D264" t="str">
        <f>"TQP00388"</f>
        <v>TQP00388</v>
      </c>
      <c r="E264" t="str">
        <f>"N/A"</f>
        <v>N/A</v>
      </c>
      <c r="F264" t="str">
        <f>"N/A"</f>
        <v>N/A</v>
      </c>
      <c r="G264" t="str">
        <f>"PIN ALIGNMENT RACK"</f>
        <v>PIN ALIGNMENT RACK</v>
      </c>
      <c r="H264" t="str">
        <f>"jcastaneda"</f>
        <v>jcastaneda</v>
      </c>
      <c r="I264" t="str">
        <f>"003"</f>
        <v>003</v>
      </c>
      <c r="J264" t="str">
        <f t="shared" si="71"/>
        <v>N</v>
      </c>
    </row>
    <row r="265" spans="1:10">
      <c r="A265" t="str">
        <f>"LE-011-01798"</f>
        <v>LE-011-01798</v>
      </c>
      <c r="B265" t="str">
        <f>"ACT"</f>
        <v>ACT</v>
      </c>
      <c r="C265" t="str">
        <f>"13"</f>
        <v>13</v>
      </c>
      <c r="D265" t="str">
        <f>"TQP00364"</f>
        <v>TQP00364</v>
      </c>
      <c r="E265" t="str">
        <f>"380"</f>
        <v>380</v>
      </c>
      <c r="F265" t="str">
        <f>"2470 V"</f>
        <v>2470 V</v>
      </c>
      <c r="G265" t="str">
        <f>"RIBBON BONDER # 3"</f>
        <v>RIBBON BONDER # 3</v>
      </c>
      <c r="H265" t="str">
        <f>"vvazquez"</f>
        <v>vvazquez</v>
      </c>
      <c r="I265" t="str">
        <f>"090"</f>
        <v>090</v>
      </c>
      <c r="J265" t="str">
        <f t="shared" si="71"/>
        <v>N</v>
      </c>
    </row>
    <row r="266" spans="1:10">
      <c r="A266" t="str">
        <f>"LE-011-02215"</f>
        <v>LE-011-02215</v>
      </c>
      <c r="B266" t="str">
        <f>"INACT"</f>
        <v>INACT</v>
      </c>
      <c r="C266" t="str">
        <f>"13"</f>
        <v>13</v>
      </c>
      <c r="D266" t="str">
        <f>"TQP01915"</f>
        <v>TQP01915</v>
      </c>
      <c r="E266" t="str">
        <f>"488"</f>
        <v>488</v>
      </c>
      <c r="F266" t="str">
        <f>"2470 V"</f>
        <v>2470 V</v>
      </c>
      <c r="G266" t="str">
        <f>"RIBBON BONDER # 6"</f>
        <v>RIBBON BONDER # 6</v>
      </c>
      <c r="H266" t="str">
        <f>"vvazquez"</f>
        <v>vvazquez</v>
      </c>
      <c r="I266" t="str">
        <f>"090"</f>
        <v>090</v>
      </c>
      <c r="J266" t="str">
        <f t="shared" si="71"/>
        <v>N</v>
      </c>
    </row>
    <row r="267" spans="1:10">
      <c r="A267" t="str">
        <f>"LE-010-28660"</f>
        <v>LE-010-28660</v>
      </c>
      <c r="B267" t="str">
        <f>"ACT"</f>
        <v>ACT</v>
      </c>
      <c r="C267" t="str">
        <f>"02"</f>
        <v>02</v>
      </c>
      <c r="D267" t="str">
        <f>"TQP01369"</f>
        <v>TQP01369</v>
      </c>
      <c r="E267" t="str">
        <f t="shared" ref="E267:F270" si="72">"N/A"</f>
        <v>N/A</v>
      </c>
      <c r="F267" t="str">
        <f t="shared" si="72"/>
        <v>N/A</v>
      </c>
      <c r="G267" t="str">
        <f>"DYNOSCOPE"</f>
        <v>DYNOSCOPE</v>
      </c>
      <c r="H267" t="str">
        <f>"rramones"</f>
        <v>rramones</v>
      </c>
      <c r="I267" t="str">
        <f>"073"</f>
        <v>073</v>
      </c>
      <c r="J267" t="str">
        <f t="shared" si="71"/>
        <v>N</v>
      </c>
    </row>
    <row r="268" spans="1:10">
      <c r="A268" t="str">
        <f>"LE-010-28647"</f>
        <v>LE-010-28647</v>
      </c>
      <c r="B268" t="str">
        <f>"ACT"</f>
        <v>ACT</v>
      </c>
      <c r="C268" t="str">
        <f>"02"</f>
        <v>02</v>
      </c>
      <c r="D268" t="str">
        <f>"TQP01372"</f>
        <v>TQP01372</v>
      </c>
      <c r="E268" t="str">
        <f t="shared" si="72"/>
        <v>N/A</v>
      </c>
      <c r="F268" t="str">
        <f t="shared" si="72"/>
        <v>N/A</v>
      </c>
      <c r="G268" t="str">
        <f>"DYNOSCOPE"</f>
        <v>DYNOSCOPE</v>
      </c>
      <c r="H268" t="str">
        <f>"rramones"</f>
        <v>rramones</v>
      </c>
      <c r="I268" t="str">
        <f>"073"</f>
        <v>073</v>
      </c>
      <c r="J268" t="str">
        <f t="shared" si="71"/>
        <v>N</v>
      </c>
    </row>
    <row r="269" spans="1:10">
      <c r="A269" t="str">
        <f>"LE-010-28651"</f>
        <v>LE-010-28651</v>
      </c>
      <c r="B269" t="str">
        <f>"INACT"</f>
        <v>INACT</v>
      </c>
      <c r="C269" t="str">
        <f>"02"</f>
        <v>02</v>
      </c>
      <c r="D269" t="str">
        <f>"TQP01371"</f>
        <v>TQP01371</v>
      </c>
      <c r="E269" t="str">
        <f t="shared" si="72"/>
        <v>N/A</v>
      </c>
      <c r="F269" t="str">
        <f t="shared" si="72"/>
        <v>N/A</v>
      </c>
      <c r="G269" t="str">
        <f>"DYNOSCOPE"</f>
        <v>DYNOSCOPE</v>
      </c>
      <c r="H269" t="str">
        <f>"rramones"</f>
        <v>rramones</v>
      </c>
      <c r="I269" t="str">
        <f>"073"</f>
        <v>073</v>
      </c>
      <c r="J269" t="str">
        <f t="shared" si="71"/>
        <v>N</v>
      </c>
    </row>
    <row r="270" spans="1:10">
      <c r="A270" t="str">
        <f>"0123MT07"</f>
        <v>0123MT07</v>
      </c>
      <c r="B270" t="str">
        <f>"ACT"</f>
        <v>ACT</v>
      </c>
      <c r="C270" t="str">
        <f>"06"</f>
        <v>06</v>
      </c>
      <c r="D270" t="str">
        <f>"TQP01364"</f>
        <v>TQP01364</v>
      </c>
      <c r="E270" t="str">
        <f t="shared" si="72"/>
        <v>N/A</v>
      </c>
      <c r="F270" t="str">
        <f t="shared" si="72"/>
        <v>N/A</v>
      </c>
      <c r="G270" t="str">
        <f>"DYNOSCOPE"</f>
        <v>DYNOSCOPE</v>
      </c>
      <c r="H270" t="str">
        <f>"rramones"</f>
        <v>rramones</v>
      </c>
      <c r="I270" t="str">
        <f>"073"</f>
        <v>073</v>
      </c>
      <c r="J270" t="str">
        <f t="shared" si="71"/>
        <v>N</v>
      </c>
    </row>
    <row r="271" spans="1:10">
      <c r="A271" t="str">
        <f>"LE-010-24154"</f>
        <v>LE-010-24154</v>
      </c>
      <c r="B271" t="str">
        <f>"INACT"</f>
        <v>INACT</v>
      </c>
      <c r="C271" t="str">
        <f>"20"</f>
        <v>20</v>
      </c>
      <c r="D271" t="str">
        <f>"TQP01196"</f>
        <v>TQP01196</v>
      </c>
      <c r="E271" t="str">
        <f>"9512-913"</f>
        <v>9512-913</v>
      </c>
      <c r="F271" t="str">
        <f>"T-2420"</f>
        <v>T-2420</v>
      </c>
      <c r="G271" t="str">
        <f>"THERMONIC"</f>
        <v>THERMONIC</v>
      </c>
      <c r="H271" t="str">
        <f>"eromero"</f>
        <v>eromero</v>
      </c>
      <c r="I271" t="str">
        <f>"066"</f>
        <v>066</v>
      </c>
      <c r="J271" t="str">
        <f t="shared" si="71"/>
        <v>N</v>
      </c>
    </row>
    <row r="272" spans="1:10">
      <c r="A272" t="str">
        <f>"LE-41-635"</f>
        <v>LE-41-635</v>
      </c>
      <c r="B272" t="str">
        <f>"INACT"</f>
        <v>INACT</v>
      </c>
      <c r="C272" t="str">
        <f>"19"</f>
        <v>19</v>
      </c>
      <c r="D272" t="str">
        <f>"TQP01168"</f>
        <v>TQP01168</v>
      </c>
      <c r="E272" t="str">
        <f>"9704-1038"</f>
        <v>9704-1038</v>
      </c>
      <c r="F272" t="str">
        <f>"T-2425"</f>
        <v>T-2425</v>
      </c>
      <c r="G272" t="str">
        <f>"THERMONIC"</f>
        <v>THERMONIC</v>
      </c>
      <c r="H272" t="str">
        <f>"eromero"</f>
        <v>eromero</v>
      </c>
      <c r="I272" t="str">
        <f>"066"</f>
        <v>066</v>
      </c>
      <c r="J272" t="str">
        <f t="shared" si="71"/>
        <v>N</v>
      </c>
    </row>
    <row r="273" spans="1:10">
      <c r="A273" t="str">
        <f>"LE-010-24038"</f>
        <v>LE-010-24038</v>
      </c>
      <c r="B273" t="str">
        <f>"INACT"</f>
        <v>INACT</v>
      </c>
      <c r="C273" t="str">
        <f>"19"</f>
        <v>19</v>
      </c>
      <c r="D273" t="str">
        <f>"TQP01021"</f>
        <v>TQP01021</v>
      </c>
      <c r="E273" t="str">
        <f>"E-9908-237"</f>
        <v>E-9908-237</v>
      </c>
      <c r="F273" t="str">
        <f>"T-2500E"</f>
        <v>T-2500E</v>
      </c>
      <c r="G273" t="str">
        <f>"THERMONIC"</f>
        <v>THERMONIC</v>
      </c>
      <c r="H273" t="str">
        <f>"eromero"</f>
        <v>eromero</v>
      </c>
      <c r="I273" t="str">
        <f>"066"</f>
        <v>066</v>
      </c>
      <c r="J273" t="str">
        <f t="shared" si="71"/>
        <v>N</v>
      </c>
    </row>
    <row r="274" spans="1:10">
      <c r="A274" t="str">
        <f>"LE-010-24169"</f>
        <v>LE-010-24169</v>
      </c>
      <c r="B274" t="str">
        <f>"INACT"</f>
        <v>INACT</v>
      </c>
      <c r="C274" t="str">
        <f>"19"</f>
        <v>19</v>
      </c>
      <c r="D274" t="str">
        <f>"TQP01024"</f>
        <v>TQP01024</v>
      </c>
      <c r="E274" t="str">
        <f>"E-9908-238"</f>
        <v>E-9908-238</v>
      </c>
      <c r="F274" t="str">
        <f>"T-2500E"</f>
        <v>T-2500E</v>
      </c>
      <c r="G274" t="str">
        <f>"THERMONIC"</f>
        <v>THERMONIC</v>
      </c>
      <c r="H274" t="str">
        <f>"eromero"</f>
        <v>eromero</v>
      </c>
      <c r="I274" t="str">
        <f>"066"</f>
        <v>066</v>
      </c>
      <c r="J274" t="str">
        <f t="shared" si="71"/>
        <v>N</v>
      </c>
    </row>
    <row r="275" spans="1:10">
      <c r="A275" t="str">
        <f>"LE-041-00642"</f>
        <v>LE-041-00642</v>
      </c>
      <c r="B275" t="str">
        <f>"INACT"</f>
        <v>INACT</v>
      </c>
      <c r="C275" t="str">
        <f>"19"</f>
        <v>19</v>
      </c>
      <c r="D275" t="str">
        <f>"TQP01022"</f>
        <v>TQP01022</v>
      </c>
      <c r="E275" t="str">
        <f>"9512-914"</f>
        <v>9512-914</v>
      </c>
      <c r="F275" t="str">
        <f>"T-2420"</f>
        <v>T-2420</v>
      </c>
      <c r="G275" t="str">
        <f>"THERMONIC"</f>
        <v>THERMONIC</v>
      </c>
      <c r="H275" t="str">
        <f>"eromero"</f>
        <v>eromero</v>
      </c>
      <c r="I275" t="str">
        <f>"066"</f>
        <v>066</v>
      </c>
      <c r="J275" t="str">
        <f t="shared" si="71"/>
        <v>N</v>
      </c>
    </row>
    <row r="276" spans="1:10">
      <c r="A276" t="str">
        <f>"LE-001-05294"</f>
        <v>LE-001-05294</v>
      </c>
      <c r="B276" t="str">
        <f>"ACT"</f>
        <v>ACT</v>
      </c>
      <c r="C276" t="str">
        <f>"04"</f>
        <v>04</v>
      </c>
      <c r="D276" t="str">
        <f>"TQP"</f>
        <v>TQP</v>
      </c>
      <c r="E276" t="str">
        <f t="shared" ref="E276:F284" si="73">"N/A"</f>
        <v>N/A</v>
      </c>
      <c r="F276" t="str">
        <f t="shared" si="73"/>
        <v>N/A</v>
      </c>
      <c r="G276" t="str">
        <f>"TEST SET CW # 03"</f>
        <v>TEST SET CW # 03</v>
      </c>
      <c r="H276" t="str">
        <f>"jcastaneda"</f>
        <v>jcastaneda</v>
      </c>
      <c r="I276" t="str">
        <f t="shared" ref="I276:I284" si="74">"081"</f>
        <v>081</v>
      </c>
      <c r="J276" t="str">
        <f t="shared" si="71"/>
        <v>N</v>
      </c>
    </row>
    <row r="277" spans="1:10">
      <c r="A277" t="str">
        <f>"LE-001-14924"</f>
        <v>LE-001-14924</v>
      </c>
      <c r="B277" t="str">
        <f>"INACT"</f>
        <v>INACT</v>
      </c>
      <c r="C277" t="str">
        <f>"29"</f>
        <v>29</v>
      </c>
      <c r="D277" t="str">
        <f>"TQP"</f>
        <v>TQP</v>
      </c>
      <c r="E277" t="str">
        <f t="shared" si="73"/>
        <v>N/A</v>
      </c>
      <c r="F277" t="str">
        <f t="shared" si="73"/>
        <v>N/A</v>
      </c>
      <c r="G277" t="str">
        <f>"TEST SET FLI # 02"</f>
        <v>TEST SET FLI # 02</v>
      </c>
      <c r="H277" t="str">
        <f>"jcastaneda"</f>
        <v>jcastaneda</v>
      </c>
      <c r="I277" t="str">
        <f t="shared" si="74"/>
        <v>081</v>
      </c>
      <c r="J277" t="str">
        <f t="shared" si="71"/>
        <v>N</v>
      </c>
    </row>
    <row r="278" spans="1:10">
      <c r="A278" t="str">
        <f>"LE-001-05233"</f>
        <v>LE-001-05233</v>
      </c>
      <c r="B278" t="str">
        <f t="shared" ref="B278:B284" si="75">"ACT"</f>
        <v>ACT</v>
      </c>
      <c r="C278" t="str">
        <f>"04"</f>
        <v>04</v>
      </c>
      <c r="D278" t="str">
        <f>"TQP"</f>
        <v>TQP</v>
      </c>
      <c r="E278" t="str">
        <f t="shared" si="73"/>
        <v>N/A</v>
      </c>
      <c r="F278" t="str">
        <f t="shared" si="73"/>
        <v>N/A</v>
      </c>
      <c r="G278" t="str">
        <f>"TEST SET FLI # 03"</f>
        <v>TEST SET FLI # 03</v>
      </c>
      <c r="H278" t="str">
        <f>"jcastaneda"</f>
        <v>jcastaneda</v>
      </c>
      <c r="I278" t="str">
        <f t="shared" si="74"/>
        <v>081</v>
      </c>
      <c r="J278" t="str">
        <f t="shared" si="71"/>
        <v>N</v>
      </c>
    </row>
    <row r="279" spans="1:10">
      <c r="A279" t="str">
        <f>"LE-001-04876"</f>
        <v>LE-001-04876</v>
      </c>
      <c r="B279" t="str">
        <f t="shared" si="75"/>
        <v>ACT</v>
      </c>
      <c r="C279" t="str">
        <f>"09"</f>
        <v>09</v>
      </c>
      <c r="D279" t="str">
        <f>"TQP01648"</f>
        <v>TQP01648</v>
      </c>
      <c r="E279" t="str">
        <f t="shared" si="73"/>
        <v>N/A</v>
      </c>
      <c r="F279" t="str">
        <f t="shared" si="73"/>
        <v>N/A</v>
      </c>
      <c r="G279" t="str">
        <f>"TEST SET MTLIV  # 03"</f>
        <v>TEST SET MTLIV  # 03</v>
      </c>
      <c r="H279" t="str">
        <f>"gbejar"</f>
        <v>gbejar</v>
      </c>
      <c r="I279" t="str">
        <f t="shared" si="74"/>
        <v>081</v>
      </c>
      <c r="J279" t="str">
        <f t="shared" si="71"/>
        <v>N</v>
      </c>
    </row>
    <row r="280" spans="1:10">
      <c r="A280" t="str">
        <f>"LE-001-05617"</f>
        <v>LE-001-05617</v>
      </c>
      <c r="B280" t="str">
        <f t="shared" si="75"/>
        <v>ACT</v>
      </c>
      <c r="C280" t="str">
        <f>"04"</f>
        <v>04</v>
      </c>
      <c r="D280" t="str">
        <f>"N/A"</f>
        <v>N/A</v>
      </c>
      <c r="E280" t="str">
        <f t="shared" si="73"/>
        <v>N/A</v>
      </c>
      <c r="F280" t="str">
        <f t="shared" si="73"/>
        <v>N/A</v>
      </c>
      <c r="G280" t="str">
        <f>"TEST SET MTLIV  # 05"</f>
        <v>TEST SET MTLIV  # 05</v>
      </c>
      <c r="H280" t="str">
        <f>"jgallo"</f>
        <v>jgallo</v>
      </c>
      <c r="I280" t="str">
        <f t="shared" si="74"/>
        <v>081</v>
      </c>
      <c r="J280" t="str">
        <f t="shared" si="71"/>
        <v>N</v>
      </c>
    </row>
    <row r="281" spans="1:10">
      <c r="A281" t="str">
        <f>"LE-001-05027"</f>
        <v>LE-001-05027</v>
      </c>
      <c r="B281" t="str">
        <f t="shared" si="75"/>
        <v>ACT</v>
      </c>
      <c r="C281" t="str">
        <f>"09"</f>
        <v>09</v>
      </c>
      <c r="D281" t="str">
        <f>"TQP01649"</f>
        <v>TQP01649</v>
      </c>
      <c r="E281" t="str">
        <f t="shared" si="73"/>
        <v>N/A</v>
      </c>
      <c r="F281" t="str">
        <f t="shared" si="73"/>
        <v>N/A</v>
      </c>
      <c r="G281" t="str">
        <f>"TEST SET MTLIV #06"</f>
        <v>TEST SET MTLIV #06</v>
      </c>
      <c r="H281" t="str">
        <f>"eromero"</f>
        <v>eromero</v>
      </c>
      <c r="I281" t="str">
        <f t="shared" si="74"/>
        <v>081</v>
      </c>
      <c r="J281" t="str">
        <f t="shared" si="71"/>
        <v>N</v>
      </c>
    </row>
    <row r="282" spans="1:10">
      <c r="A282" t="str">
        <f>"LE-001-05236"</f>
        <v>LE-001-05236</v>
      </c>
      <c r="B282" t="str">
        <f t="shared" si="75"/>
        <v>ACT</v>
      </c>
      <c r="C282" t="str">
        <f>"04"</f>
        <v>04</v>
      </c>
      <c r="D282" t="str">
        <f>"TQP01650"</f>
        <v>TQP01650</v>
      </c>
      <c r="E282" t="str">
        <f t="shared" si="73"/>
        <v>N/A</v>
      </c>
      <c r="F282" t="str">
        <f t="shared" si="73"/>
        <v>N/A</v>
      </c>
      <c r="G282" t="str">
        <f>"TEST SET MTLIV #11"</f>
        <v>TEST SET MTLIV #11</v>
      </c>
      <c r="H282" t="str">
        <f>"jgallo"</f>
        <v>jgallo</v>
      </c>
      <c r="I282" t="str">
        <f t="shared" si="74"/>
        <v>081</v>
      </c>
      <c r="J282" t="str">
        <f t="shared" si="71"/>
        <v>N</v>
      </c>
    </row>
    <row r="283" spans="1:10">
      <c r="A283" t="str">
        <f>"LE-001-05232"</f>
        <v>LE-001-05232</v>
      </c>
      <c r="B283" t="str">
        <f t="shared" si="75"/>
        <v>ACT</v>
      </c>
      <c r="C283" t="str">
        <f>"04"</f>
        <v>04</v>
      </c>
      <c r="D283" t="str">
        <f>"TQP01902"</f>
        <v>TQP01902</v>
      </c>
      <c r="E283" t="str">
        <f t="shared" si="73"/>
        <v>N/A</v>
      </c>
      <c r="F283" t="str">
        <f t="shared" si="73"/>
        <v>N/A</v>
      </c>
      <c r="G283" t="str">
        <f>"TEST SET MTLIV #13"</f>
        <v>TEST SET MTLIV #13</v>
      </c>
      <c r="H283" t="str">
        <f>"jgallo"</f>
        <v>jgallo</v>
      </c>
      <c r="I283" t="str">
        <f t="shared" si="74"/>
        <v>081</v>
      </c>
      <c r="J283" t="str">
        <f t="shared" si="71"/>
        <v>N</v>
      </c>
    </row>
    <row r="284" spans="1:10">
      <c r="A284" t="str">
        <f>"LE-001-04860"</f>
        <v>LE-001-04860</v>
      </c>
      <c r="B284" t="str">
        <f t="shared" si="75"/>
        <v>ACT</v>
      </c>
      <c r="C284" t="str">
        <f>"08"</f>
        <v>08</v>
      </c>
      <c r="D284" t="str">
        <f>"TQP09195"</f>
        <v>TQP09195</v>
      </c>
      <c r="E284" t="str">
        <f t="shared" si="73"/>
        <v>N/A</v>
      </c>
      <c r="F284" t="str">
        <f t="shared" si="73"/>
        <v>N/A</v>
      </c>
      <c r="G284" t="str">
        <f>"TEST SET RACK  CATV # 1"</f>
        <v>TEST SET RACK  CATV # 1</v>
      </c>
      <c r="H284" t="str">
        <f>"eromero"</f>
        <v>eromero</v>
      </c>
      <c r="I284" t="str">
        <f t="shared" si="74"/>
        <v>081</v>
      </c>
      <c r="J284" t="str">
        <f t="shared" si="71"/>
        <v>N</v>
      </c>
    </row>
    <row r="285" spans="1:10">
      <c r="A285" t="str">
        <f>"LE-008-02599"</f>
        <v>LE-008-02599</v>
      </c>
      <c r="B285" t="str">
        <f>"INACT"</f>
        <v>INACT</v>
      </c>
      <c r="C285" t="str">
        <f>"22"</f>
        <v>22</v>
      </c>
      <c r="D285" t="str">
        <f>"TQP00952"</f>
        <v>TQP00952</v>
      </c>
      <c r="E285" t="str">
        <f>"0998C-20907"</f>
        <v>0998C-20907</v>
      </c>
      <c r="F285" t="str">
        <f>"1088HAC"</f>
        <v>1088HAC</v>
      </c>
      <c r="G285" t="str">
        <f>"HORNO DE REFLUJO HELLER"</f>
        <v>HORNO DE REFLUJO HELLER</v>
      </c>
      <c r="H285" t="str">
        <f>"jnieto"</f>
        <v>jnieto</v>
      </c>
      <c r="I285" t="str">
        <f>"079"</f>
        <v>079</v>
      </c>
      <c r="J285" t="str">
        <f t="shared" si="71"/>
        <v>N</v>
      </c>
    </row>
    <row r="286" spans="1:10">
      <c r="A286" t="str">
        <f>"LE-059-00309"</f>
        <v>LE-059-00309</v>
      </c>
      <c r="B286" t="str">
        <f>"INACT"</f>
        <v>INACT</v>
      </c>
      <c r="C286" t="str">
        <f>"10"</f>
        <v>10</v>
      </c>
      <c r="D286" t="str">
        <f>"TQP00385"</f>
        <v>TQP00385</v>
      </c>
      <c r="E286" t="str">
        <f>"MM-17180"</f>
        <v>MM-17180</v>
      </c>
      <c r="F286" t="str">
        <f>"SS-21"</f>
        <v>SS-21</v>
      </c>
      <c r="G286" t="str">
        <f>"TRIM  TOOL"</f>
        <v>TRIM  TOOL</v>
      </c>
      <c r="H286" t="str">
        <f>"gramirez"</f>
        <v>gramirez</v>
      </c>
      <c r="I286" t="str">
        <f>"047"</f>
        <v>047</v>
      </c>
      <c r="J286" t="str">
        <f t="shared" si="71"/>
        <v>N</v>
      </c>
    </row>
    <row r="287" spans="1:10">
      <c r="A287" t="str">
        <f>"LE-059-00310"</f>
        <v>LE-059-00310</v>
      </c>
      <c r="B287" t="str">
        <f>"INACT"</f>
        <v>INACT</v>
      </c>
      <c r="C287" t="str">
        <f>"10"</f>
        <v>10</v>
      </c>
      <c r="D287" t="str">
        <f>"TQP 00386"</f>
        <v>TQP 00386</v>
      </c>
      <c r="E287" t="str">
        <f>"MM-17179"</f>
        <v>MM-17179</v>
      </c>
      <c r="F287" t="str">
        <f>"SS-20"</f>
        <v>SS-20</v>
      </c>
      <c r="G287" t="str">
        <f>"TRIM  TOOL"</f>
        <v>TRIM  TOOL</v>
      </c>
      <c r="H287" t="str">
        <f>"gramirez"</f>
        <v>gramirez</v>
      </c>
      <c r="I287" t="str">
        <f>"047"</f>
        <v>047</v>
      </c>
      <c r="J287" t="str">
        <f t="shared" si="71"/>
        <v>N</v>
      </c>
    </row>
    <row r="288" spans="1:10">
      <c r="A288" t="str">
        <f>"LE-059-00308"</f>
        <v>LE-059-00308</v>
      </c>
      <c r="B288" t="str">
        <f>"INACT"</f>
        <v>INACT</v>
      </c>
      <c r="C288" t="str">
        <f>"10"</f>
        <v>10</v>
      </c>
      <c r="D288" t="str">
        <f>"TQP 00387"</f>
        <v>TQP 00387</v>
      </c>
      <c r="E288" t="str">
        <f>"MMT-7185"</f>
        <v>MMT-7185</v>
      </c>
      <c r="F288" t="str">
        <f>"SS-22"</f>
        <v>SS-22</v>
      </c>
      <c r="G288" t="str">
        <f>"TRIM  TOOL"</f>
        <v>TRIM  TOOL</v>
      </c>
      <c r="H288" t="str">
        <f>"gramirez"</f>
        <v>gramirez</v>
      </c>
      <c r="I288" t="str">
        <f>"047"</f>
        <v>047</v>
      </c>
      <c r="J288" t="str">
        <f t="shared" si="71"/>
        <v>N</v>
      </c>
    </row>
    <row r="289" spans="1:10">
      <c r="A289" t="str">
        <f>"0321LA02"</f>
        <v>0321LA02</v>
      </c>
      <c r="B289" t="str">
        <f>"ACT"</f>
        <v>ACT</v>
      </c>
      <c r="C289" t="str">
        <f>"06"</f>
        <v>06</v>
      </c>
      <c r="D289" t="str">
        <f>"N/A"</f>
        <v>N/A</v>
      </c>
      <c r="E289" t="str">
        <f>"QCC100033748E"</f>
        <v>QCC100033748E</v>
      </c>
      <c r="F289" t="str">
        <f>"8892R-DTH"</f>
        <v>8892R-DTH</v>
      </c>
      <c r="G289" t="str">
        <f>"ULTRASONIC CLEANER"</f>
        <v>ULTRASONIC CLEANER</v>
      </c>
      <c r="H289" t="str">
        <f>"rramones"</f>
        <v>rramones</v>
      </c>
      <c r="I289" t="str">
        <f>"020"</f>
        <v>020</v>
      </c>
      <c r="J289" t="str">
        <f t="shared" si="71"/>
        <v>N</v>
      </c>
    </row>
    <row r="290" spans="1:10">
      <c r="A290" t="str">
        <f>"LE-010-24370"</f>
        <v>LE-010-24370</v>
      </c>
      <c r="B290" t="str">
        <f>"INACT"</f>
        <v>INACT</v>
      </c>
      <c r="C290" t="str">
        <f>"02"</f>
        <v>02</v>
      </c>
      <c r="D290" t="str">
        <f>"TQP01379"</f>
        <v>TQP01379</v>
      </c>
      <c r="E290" t="str">
        <f>"N/A"</f>
        <v>N/A</v>
      </c>
      <c r="F290" t="str">
        <f>"N/A"</f>
        <v>N/A</v>
      </c>
      <c r="G290" t="str">
        <f>"UV EXPOSURE CHAMBER"</f>
        <v>UV EXPOSURE CHAMBER</v>
      </c>
      <c r="H290" t="str">
        <f>"jcastaneda"</f>
        <v>jcastaneda</v>
      </c>
      <c r="I290" t="str">
        <f>"091"</f>
        <v>091</v>
      </c>
      <c r="J290" t="str">
        <f t="shared" si="71"/>
        <v>N</v>
      </c>
    </row>
    <row r="291" spans="1:10">
      <c r="A291" t="str">
        <f>"0430FC00"</f>
        <v>0430FC00</v>
      </c>
      <c r="B291" t="str">
        <f>"ACT"</f>
        <v>ACT</v>
      </c>
      <c r="C291" t="str">
        <f>"16"</f>
        <v>16</v>
      </c>
      <c r="D291" t="str">
        <f>""</f>
        <v/>
      </c>
      <c r="E291" t="str">
        <f>"W1361"</f>
        <v>W1361</v>
      </c>
      <c r="F291" t="str">
        <f>"TRAVANI TRHC40-140-F"</f>
        <v>TRAVANI TRHC40-140-F</v>
      </c>
      <c r="G291" t="str">
        <f>"VACUUM PUMP "</f>
        <v xml:space="preserve">VACUUM PUMP </v>
      </c>
      <c r="H291" t="str">
        <f>"jmaldonado"</f>
        <v>jmaldonado</v>
      </c>
      <c r="I291" t="str">
        <f>"092"</f>
        <v>092</v>
      </c>
      <c r="J291" t="str">
        <f t="shared" si="71"/>
        <v>N</v>
      </c>
    </row>
    <row r="292" spans="1:10">
      <c r="A292" t="str">
        <f>"LE-038-00595"</f>
        <v>LE-038-00595</v>
      </c>
      <c r="B292" t="str">
        <f>"INACT"</f>
        <v>INACT</v>
      </c>
      <c r="C292" t="str">
        <f>"16"</f>
        <v>16</v>
      </c>
      <c r="D292" t="str">
        <f>"TQP14359"</f>
        <v>TQP14359</v>
      </c>
      <c r="E292" t="str">
        <f>"300997"</f>
        <v>300997</v>
      </c>
      <c r="F292" t="str">
        <f>"TRAVANI TRO-100H-1A"</f>
        <v>TRAVANI TRO-100H-1A</v>
      </c>
      <c r="G292" t="str">
        <f>"VACUUM PUMP # 01"</f>
        <v>VACUUM PUMP # 01</v>
      </c>
      <c r="H292" t="str">
        <f>"jmaldonado"</f>
        <v>jmaldonado</v>
      </c>
      <c r="I292" t="str">
        <f>"092"</f>
        <v>092</v>
      </c>
      <c r="J292" t="str">
        <f t="shared" si="71"/>
        <v>N</v>
      </c>
    </row>
    <row r="293" spans="1:10">
      <c r="A293" t="str">
        <f>"LE-038-00593"</f>
        <v>LE-038-00593</v>
      </c>
      <c r="B293" t="str">
        <f t="shared" ref="B293:B299" si="76">"ACT"</f>
        <v>ACT</v>
      </c>
      <c r="C293" t="str">
        <f>"16"</f>
        <v>16</v>
      </c>
      <c r="D293" t="str">
        <f>"TQP 14358"</f>
        <v>TQP 14358</v>
      </c>
      <c r="E293" t="str">
        <f>"15015"</f>
        <v>15015</v>
      </c>
      <c r="F293" t="str">
        <f>"TRAVANI TRO-100H-1A"</f>
        <v>TRAVANI TRO-100H-1A</v>
      </c>
      <c r="G293" t="str">
        <f>"VACUUM PUMP # 02"</f>
        <v>VACUUM PUMP # 02</v>
      </c>
      <c r="H293" t="str">
        <f>"jmaldonado"</f>
        <v>jmaldonado</v>
      </c>
      <c r="I293" t="str">
        <f>"092"</f>
        <v>092</v>
      </c>
      <c r="J293" t="str">
        <f t="shared" si="71"/>
        <v>N</v>
      </c>
    </row>
    <row r="294" spans="1:10">
      <c r="A294" t="str">
        <f>"0713NT00"</f>
        <v>0713NT00</v>
      </c>
      <c r="B294" t="str">
        <f t="shared" si="76"/>
        <v>ACT</v>
      </c>
      <c r="C294" t="str">
        <f>"09"</f>
        <v>09</v>
      </c>
      <c r="D294" t="str">
        <f>"N/A"</f>
        <v>N/A</v>
      </c>
      <c r="E294" t="str">
        <f>"N/A"</f>
        <v>N/A</v>
      </c>
      <c r="F294" t="str">
        <f>"N/A"</f>
        <v>N/A</v>
      </c>
      <c r="G294" t="str">
        <f>"ALINEACION DE FIBRA R195"</f>
        <v>ALINEACION DE FIBRA R195</v>
      </c>
      <c r="H294" t="str">
        <f>"ecerda"</f>
        <v>ecerda</v>
      </c>
      <c r="I294" t="str">
        <f>"081"</f>
        <v>081</v>
      </c>
      <c r="J294" t="str">
        <f t="shared" si="71"/>
        <v>N</v>
      </c>
    </row>
    <row r="295" spans="1:10">
      <c r="A295" t="str">
        <f>"LE-003-00763"</f>
        <v>LE-003-00763</v>
      </c>
      <c r="B295" t="str">
        <f t="shared" si="76"/>
        <v>ACT</v>
      </c>
      <c r="C295" t="str">
        <f>"16"</f>
        <v>16</v>
      </c>
      <c r="D295" t="str">
        <f t="shared" ref="D295:D308" si="77">"N/A"</f>
        <v>N/A</v>
      </c>
      <c r="E295" t="str">
        <f>"930004"</f>
        <v>930004</v>
      </c>
      <c r="F295" t="str">
        <f>"CAC-36T"</f>
        <v>CAC-36T</v>
      </c>
      <c r="G295" t="str">
        <f>"AIR BLOWER- IMPORT-EXPORT"</f>
        <v>AIR BLOWER- IMPORT-EXPORT</v>
      </c>
      <c r="H295" t="str">
        <f>"jmaldonado"</f>
        <v>jmaldonado</v>
      </c>
      <c r="I295" t="str">
        <f>"093"</f>
        <v>093</v>
      </c>
      <c r="J295" t="str">
        <f t="shared" si="71"/>
        <v>N</v>
      </c>
    </row>
    <row r="296" spans="1:10">
      <c r="A296" t="str">
        <f>"LE-003-00764"</f>
        <v>LE-003-00764</v>
      </c>
      <c r="B296" t="str">
        <f t="shared" si="76"/>
        <v>ACT</v>
      </c>
      <c r="C296" t="str">
        <f>"16"</f>
        <v>16</v>
      </c>
      <c r="D296" t="str">
        <f t="shared" si="77"/>
        <v>N/A</v>
      </c>
      <c r="E296" t="str">
        <f>"930006"</f>
        <v>930006</v>
      </c>
      <c r="F296" t="str">
        <f>"CAC-36T"</f>
        <v>CAC-36T</v>
      </c>
      <c r="G296" t="str">
        <f>"AIR BLOWER-ALMACEN"</f>
        <v>AIR BLOWER-ALMACEN</v>
      </c>
      <c r="H296" t="str">
        <f>"jmaldonado"</f>
        <v>jmaldonado</v>
      </c>
      <c r="I296" t="str">
        <f>"093"</f>
        <v>093</v>
      </c>
      <c r="J296" t="str">
        <f t="shared" si="71"/>
        <v>N</v>
      </c>
    </row>
    <row r="297" spans="1:10">
      <c r="A297" t="str">
        <f>"0442FR10"</f>
        <v>0442FR10</v>
      </c>
      <c r="B297" t="str">
        <f t="shared" si="76"/>
        <v>ACT</v>
      </c>
      <c r="C297" t="str">
        <f>"05"</f>
        <v>05</v>
      </c>
      <c r="D297" t="str">
        <f t="shared" si="77"/>
        <v>N/A</v>
      </c>
      <c r="E297" t="str">
        <f>"AFL-DF-0646"</f>
        <v>AFL-DF-0646</v>
      </c>
      <c r="F297" t="str">
        <f>"CTD 43"</f>
        <v>CTD 43</v>
      </c>
      <c r="G297" t="str">
        <f>"BROWN OVEN (2.5)"</f>
        <v>BROWN OVEN (2.5)</v>
      </c>
      <c r="H297" t="str">
        <f>"jcastaneda"</f>
        <v>jcastaneda</v>
      </c>
      <c r="I297" t="str">
        <f>"094"</f>
        <v>094</v>
      </c>
      <c r="J297" t="str">
        <f t="shared" si="71"/>
        <v>N</v>
      </c>
    </row>
    <row r="298" spans="1:10">
      <c r="A298" t="str">
        <f>"LE-010-28876"</f>
        <v>LE-010-28876</v>
      </c>
      <c r="B298" t="str">
        <f t="shared" si="76"/>
        <v>ACT</v>
      </c>
      <c r="C298" t="str">
        <f>"16"</f>
        <v>16</v>
      </c>
      <c r="D298" t="str">
        <f t="shared" si="77"/>
        <v>N/A</v>
      </c>
      <c r="E298" t="str">
        <f>"2FA066 01"</f>
        <v>2FA066 01</v>
      </c>
      <c r="F298" t="str">
        <f>"SECOMAT2000"</f>
        <v>SECOMAT2000</v>
      </c>
      <c r="G298" t="str">
        <f>"CAPACITOR ARRAY MODULE- SUBEST-ELECTRICA"</f>
        <v>CAPACITOR ARRAY MODULE- SUBEST-ELECTRICA</v>
      </c>
      <c r="H298" t="str">
        <f>"jmaldonado"</f>
        <v>jmaldonado</v>
      </c>
      <c r="I298" t="str">
        <f>"095"</f>
        <v>095</v>
      </c>
      <c r="J298" t="str">
        <f t="shared" si="71"/>
        <v>N</v>
      </c>
    </row>
    <row r="299" spans="1:10">
      <c r="A299" t="str">
        <f>"LE-010-28877"</f>
        <v>LE-010-28877</v>
      </c>
      <c r="B299" t="str">
        <f t="shared" si="76"/>
        <v>ACT</v>
      </c>
      <c r="C299" t="str">
        <f>"16"</f>
        <v>16</v>
      </c>
      <c r="D299" t="str">
        <f t="shared" si="77"/>
        <v>N/A</v>
      </c>
      <c r="E299" t="str">
        <f>"06030F 16059"</f>
        <v>06030F 16059</v>
      </c>
      <c r="F299" t="str">
        <f>"30RAN022A-611"</f>
        <v>30RAN022A-611</v>
      </c>
      <c r="G299" t="str">
        <f>"CHILLER"</f>
        <v>CHILLER</v>
      </c>
      <c r="H299" t="str">
        <f>"jmaldonado"</f>
        <v>jmaldonado</v>
      </c>
      <c r="I299" t="str">
        <f>"017"</f>
        <v>017</v>
      </c>
      <c r="J299" t="str">
        <f t="shared" si="71"/>
        <v>N</v>
      </c>
    </row>
    <row r="300" spans="1:10">
      <c r="A300" t="str">
        <f>"LE-010-28614"</f>
        <v>LE-010-28614</v>
      </c>
      <c r="B300" t="str">
        <f t="shared" ref="B300:B305" si="78">"INACT"</f>
        <v>INACT</v>
      </c>
      <c r="C300" t="str">
        <f>"16"</f>
        <v>16</v>
      </c>
      <c r="D300" t="str">
        <f t="shared" si="77"/>
        <v>N/A</v>
      </c>
      <c r="E300" t="str">
        <f>"SR1J1 201"</f>
        <v>SR1J1 201</v>
      </c>
      <c r="F300" t="str">
        <f>"VT-300-12"</f>
        <v>VT-300-12</v>
      </c>
      <c r="G300" t="str">
        <f>"CHILLER"</f>
        <v>CHILLER</v>
      </c>
      <c r="H300" t="str">
        <f>"jmaldonado"</f>
        <v>jmaldonado</v>
      </c>
      <c r="I300" t="str">
        <f>"017"</f>
        <v>017</v>
      </c>
      <c r="J300" t="str">
        <f t="shared" si="71"/>
        <v>N</v>
      </c>
    </row>
    <row r="301" spans="1:10">
      <c r="A301" t="str">
        <f>"LE-010-24189"</f>
        <v>LE-010-24189</v>
      </c>
      <c r="B301" t="str">
        <f t="shared" si="78"/>
        <v>INACT</v>
      </c>
      <c r="C301" t="str">
        <f>"16"</f>
        <v>16</v>
      </c>
      <c r="D301" t="str">
        <f t="shared" si="77"/>
        <v>N/A</v>
      </c>
      <c r="E301" t="str">
        <f>"H017458"</f>
        <v>H017458</v>
      </c>
      <c r="F301" t="str">
        <f>"26-155"</f>
        <v>26-155</v>
      </c>
      <c r="G301" t="str">
        <f>"BOMBA DE VACIO"</f>
        <v>BOMBA DE VACIO</v>
      </c>
      <c r="H301" t="str">
        <f>"jmaldonado"</f>
        <v>jmaldonado</v>
      </c>
      <c r="I301" t="str">
        <f>"017"</f>
        <v>017</v>
      </c>
      <c r="J301" t="str">
        <f t="shared" si="71"/>
        <v>N</v>
      </c>
    </row>
    <row r="302" spans="1:10">
      <c r="A302" t="str">
        <f>"LE-010-24188"</f>
        <v>LE-010-24188</v>
      </c>
      <c r="B302" t="str">
        <f t="shared" si="78"/>
        <v>INACT</v>
      </c>
      <c r="C302" t="str">
        <f>"16"</f>
        <v>16</v>
      </c>
      <c r="D302" t="str">
        <f t="shared" si="77"/>
        <v>N/A</v>
      </c>
      <c r="E302" t="str">
        <f>"3600F30227"</f>
        <v>3600F30227</v>
      </c>
      <c r="F302" t="str">
        <f>"26-156"</f>
        <v>26-156</v>
      </c>
      <c r="G302" t="str">
        <f>"CHILLER- EXTERIOR DE LA PLANTA"</f>
        <v>CHILLER- EXTERIOR DE LA PLANTA</v>
      </c>
      <c r="H302" t="str">
        <f>"jmaldonado"</f>
        <v>jmaldonado</v>
      </c>
      <c r="I302" t="str">
        <f>"017"</f>
        <v>017</v>
      </c>
      <c r="J302" t="str">
        <f t="shared" si="71"/>
        <v>N</v>
      </c>
    </row>
    <row r="303" spans="1:10">
      <c r="A303" t="str">
        <f>"0424NP02"</f>
        <v>0424NP02</v>
      </c>
      <c r="B303" t="str">
        <f t="shared" si="78"/>
        <v>INACT</v>
      </c>
      <c r="C303" t="str">
        <f>"09"</f>
        <v>09</v>
      </c>
      <c r="D303" t="str">
        <f t="shared" si="77"/>
        <v>N/A</v>
      </c>
      <c r="E303" t="str">
        <f>"F0404-6507-035"</f>
        <v>F0404-6507-035</v>
      </c>
      <c r="F303" t="str">
        <f>"FCL-B100"</f>
        <v>FCL-B100</v>
      </c>
      <c r="G303" t="str">
        <f>"CLEAN BLAST"</f>
        <v>CLEAN BLAST</v>
      </c>
      <c r="H303" t="str">
        <f>"jnieto"</f>
        <v>jnieto</v>
      </c>
      <c r="I303" t="str">
        <f>"096"</f>
        <v>096</v>
      </c>
      <c r="J303" t="str">
        <f t="shared" si="71"/>
        <v>N</v>
      </c>
    </row>
    <row r="304" spans="1:10">
      <c r="A304" t="str">
        <f>"LE-010-24254"</f>
        <v>LE-010-24254</v>
      </c>
      <c r="B304" t="str">
        <f t="shared" si="78"/>
        <v>INACT</v>
      </c>
      <c r="C304" t="str">
        <f t="shared" ref="C304:C313" si="79">"16"</f>
        <v>16</v>
      </c>
      <c r="D304" t="str">
        <f t="shared" si="77"/>
        <v>N/A</v>
      </c>
      <c r="E304" t="str">
        <f>"1274738"</f>
        <v>1274738</v>
      </c>
      <c r="F304" t="str">
        <f>"AP20"</f>
        <v>AP20</v>
      </c>
      <c r="G304" t="str">
        <f>"CLEANING MACHINE"</f>
        <v>CLEANING MACHINE</v>
      </c>
      <c r="H304" t="str">
        <f t="shared" ref="H304:H313" si="80">"jmaldonado"</f>
        <v>jmaldonado</v>
      </c>
      <c r="I304" t="str">
        <f>"001"</f>
        <v>001</v>
      </c>
      <c r="J304" t="str">
        <f t="shared" si="71"/>
        <v>N</v>
      </c>
    </row>
    <row r="305" spans="1:10">
      <c r="A305" t="str">
        <f>"LE-010-24255"</f>
        <v>LE-010-24255</v>
      </c>
      <c r="B305" t="str">
        <f t="shared" si="78"/>
        <v>INACT</v>
      </c>
      <c r="C305" t="str">
        <f t="shared" si="79"/>
        <v>16</v>
      </c>
      <c r="D305" t="str">
        <f t="shared" si="77"/>
        <v>N/A</v>
      </c>
      <c r="E305" t="str">
        <f>"1267431"</f>
        <v>1267431</v>
      </c>
      <c r="F305" t="str">
        <f>"AQUACLEAN"</f>
        <v>AQUACLEAN</v>
      </c>
      <c r="G305" t="str">
        <f>"CLEANING MACHINE"</f>
        <v>CLEANING MACHINE</v>
      </c>
      <c r="H305" t="str">
        <f t="shared" si="80"/>
        <v>jmaldonado</v>
      </c>
      <c r="I305" t="str">
        <f>"001"</f>
        <v>001</v>
      </c>
      <c r="J305" t="str">
        <f t="shared" si="71"/>
        <v>N</v>
      </c>
    </row>
    <row r="306" spans="1:10">
      <c r="A306" t="str">
        <f>"LE-026-00180"</f>
        <v>LE-026-00180</v>
      </c>
      <c r="B306" t="str">
        <f>"ACT"</f>
        <v>ACT</v>
      </c>
      <c r="C306" t="str">
        <f t="shared" si="79"/>
        <v>16</v>
      </c>
      <c r="D306" t="str">
        <f t="shared" si="77"/>
        <v>N/A</v>
      </c>
      <c r="E306" t="str">
        <f>"37918-1"</f>
        <v>37918-1</v>
      </c>
      <c r="F306" t="str">
        <f>"C-200"</f>
        <v>C-200</v>
      </c>
      <c r="G306" t="str">
        <f>"COMPRESSED AIR DRYER"</f>
        <v>COMPRESSED AIR DRYER</v>
      </c>
      <c r="H306" t="str">
        <f t="shared" si="80"/>
        <v>jmaldonado</v>
      </c>
      <c r="I306" t="str">
        <f>"061"</f>
        <v>061</v>
      </c>
      <c r="J306" t="str">
        <f t="shared" si="71"/>
        <v>N</v>
      </c>
    </row>
    <row r="307" spans="1:10">
      <c r="A307" t="str">
        <f>"LE-026-00182"</f>
        <v>LE-026-00182</v>
      </c>
      <c r="B307" t="str">
        <f>"ACT"</f>
        <v>ACT</v>
      </c>
      <c r="C307" t="str">
        <f t="shared" si="79"/>
        <v>16</v>
      </c>
      <c r="D307" t="str">
        <f t="shared" si="77"/>
        <v>N/A</v>
      </c>
      <c r="E307" t="str">
        <f>"37918-2"</f>
        <v>37918-2</v>
      </c>
      <c r="F307" t="str">
        <f>"C-200"</f>
        <v>C-200</v>
      </c>
      <c r="G307" t="str">
        <f>"COMPRESSED AIR DRYER"</f>
        <v>COMPRESSED AIR DRYER</v>
      </c>
      <c r="H307" t="str">
        <f t="shared" si="80"/>
        <v>jmaldonado</v>
      </c>
      <c r="I307" t="str">
        <f>"061"</f>
        <v>061</v>
      </c>
      <c r="J307" t="str">
        <f t="shared" si="71"/>
        <v>N</v>
      </c>
    </row>
    <row r="308" spans="1:10">
      <c r="A308" t="str">
        <f>"LE-061-01366"</f>
        <v>LE-061-01366</v>
      </c>
      <c r="B308" t="str">
        <f>"ACT"</f>
        <v>ACT</v>
      </c>
      <c r="C308" t="str">
        <f t="shared" si="79"/>
        <v>16</v>
      </c>
      <c r="D308" t="str">
        <f t="shared" si="77"/>
        <v>N/A</v>
      </c>
      <c r="E308" t="str">
        <f>"566044"</f>
        <v>566044</v>
      </c>
      <c r="F308" t="str">
        <f>"3175"</f>
        <v>3175</v>
      </c>
      <c r="G308" t="str">
        <f>"COMPRESSED AIR TANK - CUARTO DE CISTERNA"</f>
        <v>COMPRESSED AIR TANK - CUARTO DE CISTERNA</v>
      </c>
      <c r="H308" t="str">
        <f t="shared" si="80"/>
        <v>jmaldonado</v>
      </c>
      <c r="I308" t="str">
        <f>"097"</f>
        <v>097</v>
      </c>
      <c r="J308" t="str">
        <f t="shared" si="71"/>
        <v>N</v>
      </c>
    </row>
    <row r="309" spans="1:10">
      <c r="A309" t="str">
        <f>"LE-026-00179"</f>
        <v>LE-026-00179</v>
      </c>
      <c r="B309" t="str">
        <f>"ACT"</f>
        <v>ACT</v>
      </c>
      <c r="C309" t="str">
        <f t="shared" si="79"/>
        <v>16</v>
      </c>
      <c r="D309" t="str">
        <f>"TQP14400"</f>
        <v>TQP14400</v>
      </c>
      <c r="E309" t="str">
        <f>"AIF.069501"</f>
        <v>AIF.069501</v>
      </c>
      <c r="F309" t="str">
        <f>"ZT-110"</f>
        <v>ZT-110</v>
      </c>
      <c r="G309" t="str">
        <f>"COMPRESSOR ATLAS COPCO"</f>
        <v>COMPRESSOR ATLAS COPCO</v>
      </c>
      <c r="H309" t="str">
        <f t="shared" si="80"/>
        <v>jmaldonado</v>
      </c>
      <c r="I309" t="str">
        <f>"011"</f>
        <v>011</v>
      </c>
      <c r="J309" t="str">
        <f t="shared" si="71"/>
        <v>N</v>
      </c>
    </row>
    <row r="310" spans="1:10">
      <c r="A310" t="str">
        <f>"LE-026-00181"</f>
        <v>LE-026-00181</v>
      </c>
      <c r="B310" t="str">
        <f>"ACT"</f>
        <v>ACT</v>
      </c>
      <c r="C310" t="str">
        <f t="shared" si="79"/>
        <v>16</v>
      </c>
      <c r="D310" t="str">
        <f>"TQP14401"</f>
        <v>TQP14401</v>
      </c>
      <c r="E310" t="str">
        <f>"AIF.069502"</f>
        <v>AIF.069502</v>
      </c>
      <c r="F310" t="str">
        <f>"ZT-110"</f>
        <v>ZT-110</v>
      </c>
      <c r="G310" t="str">
        <f>"COMPRESSOR ATLAS COPCO"</f>
        <v>COMPRESSOR ATLAS COPCO</v>
      </c>
      <c r="H310" t="str">
        <f t="shared" si="80"/>
        <v>jmaldonado</v>
      </c>
      <c r="I310" t="str">
        <f>"011"</f>
        <v>011</v>
      </c>
      <c r="J310" t="str">
        <f t="shared" si="71"/>
        <v>N</v>
      </c>
    </row>
    <row r="311" spans="1:10">
      <c r="A311" t="str">
        <f>"LE-097-01083"</f>
        <v>LE-097-01083</v>
      </c>
      <c r="B311" t="str">
        <f>"INACT"</f>
        <v>INACT</v>
      </c>
      <c r="C311" t="str">
        <f t="shared" si="79"/>
        <v>16</v>
      </c>
      <c r="D311" t="str">
        <f>"N/A"</f>
        <v>N/A</v>
      </c>
      <c r="E311" t="str">
        <f>"3600F30227"</f>
        <v>3600F30227</v>
      </c>
      <c r="F311" t="str">
        <f>"38AK5034-600"</f>
        <v>38AK5034-600</v>
      </c>
      <c r="G311" t="str">
        <f>"CONDENSER"</f>
        <v>CONDENSER</v>
      </c>
      <c r="H311" t="str">
        <f t="shared" si="80"/>
        <v>jmaldonado</v>
      </c>
      <c r="I311" t="str">
        <f>"017"</f>
        <v>017</v>
      </c>
      <c r="J311" t="str">
        <f t="shared" si="71"/>
        <v>N</v>
      </c>
    </row>
    <row r="312" spans="1:10">
      <c r="A312" t="str">
        <f>"LE-097-01082"</f>
        <v>LE-097-01082</v>
      </c>
      <c r="B312" t="str">
        <f>"INACT"</f>
        <v>INACT</v>
      </c>
      <c r="C312" t="str">
        <f t="shared" si="79"/>
        <v>16</v>
      </c>
      <c r="D312" t="str">
        <f>"N/A"</f>
        <v>N/A</v>
      </c>
      <c r="E312" t="str">
        <f>"3600F30226"</f>
        <v>3600F30226</v>
      </c>
      <c r="F312" t="str">
        <f>"38AK5034-600"</f>
        <v>38AK5034-600</v>
      </c>
      <c r="G312" t="str">
        <f>"CONDENSER"</f>
        <v>CONDENSER</v>
      </c>
      <c r="H312" t="str">
        <f t="shared" si="80"/>
        <v>jmaldonado</v>
      </c>
      <c r="I312" t="str">
        <f>"017"</f>
        <v>017</v>
      </c>
      <c r="J312" t="str">
        <f t="shared" si="71"/>
        <v>N</v>
      </c>
    </row>
    <row r="313" spans="1:10">
      <c r="A313" t="str">
        <f>"LE-064-00614"</f>
        <v>LE-064-00614</v>
      </c>
      <c r="B313" t="str">
        <f>"INACT"</f>
        <v>INACT</v>
      </c>
      <c r="C313" t="str">
        <f t="shared" si="79"/>
        <v>16</v>
      </c>
      <c r="D313" t="str">
        <f>"N/A"</f>
        <v>N/A</v>
      </c>
      <c r="E313" t="str">
        <f>"78269"</f>
        <v>78269</v>
      </c>
      <c r="F313" t="str">
        <f>"PL50062GPHZ23HO"</f>
        <v>PL50062GPHZ23HO</v>
      </c>
      <c r="G313" t="str">
        <f>"DISHWASHER"</f>
        <v>DISHWASHER</v>
      </c>
      <c r="H313" t="str">
        <f t="shared" si="80"/>
        <v>jmaldonado</v>
      </c>
      <c r="I313" t="str">
        <f>"032"</f>
        <v>032</v>
      </c>
      <c r="J313" t="str">
        <f t="shared" si="71"/>
        <v>N</v>
      </c>
    </row>
    <row r="314" spans="1:10">
      <c r="A314" t="str">
        <f>"LE-053-02028"</f>
        <v>LE-053-02028</v>
      </c>
      <c r="B314" t="str">
        <f t="shared" ref="B314:B320" si="81">"ACT"</f>
        <v>ACT</v>
      </c>
      <c r="C314" t="str">
        <f>"33"</f>
        <v>33</v>
      </c>
      <c r="D314" t="str">
        <f>"TQP 09392"</f>
        <v>TQP 09392</v>
      </c>
      <c r="E314" t="str">
        <f t="shared" ref="E314:F317" si="82">"N/A"</f>
        <v>N/A</v>
      </c>
      <c r="F314" t="str">
        <f t="shared" si="82"/>
        <v>N/A</v>
      </c>
      <c r="G314" t="str">
        <f t="shared" ref="G314:G320" si="83">"DRY BOX"</f>
        <v>DRY BOX</v>
      </c>
      <c r="H314" t="str">
        <f t="shared" ref="H314:H320" si="84">"rramones"</f>
        <v>rramones</v>
      </c>
      <c r="I314" t="str">
        <f t="shared" ref="I314:I320" si="85">"082"</f>
        <v>082</v>
      </c>
      <c r="J314" t="str">
        <f t="shared" si="71"/>
        <v>N</v>
      </c>
    </row>
    <row r="315" spans="1:10">
      <c r="A315" t="str">
        <f>"LE-053-02027"</f>
        <v>LE-053-02027</v>
      </c>
      <c r="B315" t="str">
        <f t="shared" si="81"/>
        <v>ACT</v>
      </c>
      <c r="C315" t="str">
        <f>"33"</f>
        <v>33</v>
      </c>
      <c r="D315" t="str">
        <f>"TQP 09392"</f>
        <v>TQP 09392</v>
      </c>
      <c r="E315" t="str">
        <f t="shared" si="82"/>
        <v>N/A</v>
      </c>
      <c r="F315" t="str">
        <f t="shared" si="82"/>
        <v>N/A</v>
      </c>
      <c r="G315" t="str">
        <f t="shared" si="83"/>
        <v>DRY BOX</v>
      </c>
      <c r="H315" t="str">
        <f t="shared" si="84"/>
        <v>rramones</v>
      </c>
      <c r="I315" t="str">
        <f t="shared" si="85"/>
        <v>082</v>
      </c>
      <c r="J315" t="str">
        <f t="shared" si="71"/>
        <v>N</v>
      </c>
    </row>
    <row r="316" spans="1:10">
      <c r="A316" t="str">
        <f>"LE-010-29055"</f>
        <v>LE-010-29055</v>
      </c>
      <c r="B316" t="str">
        <f t="shared" si="81"/>
        <v>ACT</v>
      </c>
      <c r="C316" t="str">
        <f>"02"</f>
        <v>02</v>
      </c>
      <c r="D316" t="str">
        <f>"TQP09391"</f>
        <v>TQP09391</v>
      </c>
      <c r="E316" t="str">
        <f t="shared" si="82"/>
        <v>N/A</v>
      </c>
      <c r="F316" t="str">
        <f t="shared" si="82"/>
        <v>N/A</v>
      </c>
      <c r="G316" t="str">
        <f t="shared" si="83"/>
        <v>DRY BOX</v>
      </c>
      <c r="H316" t="str">
        <f t="shared" si="84"/>
        <v>rramones</v>
      </c>
      <c r="I316" t="str">
        <f t="shared" si="85"/>
        <v>082</v>
      </c>
      <c r="J316" t="str">
        <f t="shared" si="71"/>
        <v>N</v>
      </c>
    </row>
    <row r="317" spans="1:10">
      <c r="A317" t="str">
        <f>"LE-010-29056"</f>
        <v>LE-010-29056</v>
      </c>
      <c r="B317" t="str">
        <f t="shared" si="81"/>
        <v>ACT</v>
      </c>
      <c r="C317" t="str">
        <f>"02"</f>
        <v>02</v>
      </c>
      <c r="D317" t="str">
        <f>"TQP09391"</f>
        <v>TQP09391</v>
      </c>
      <c r="E317" t="str">
        <f t="shared" si="82"/>
        <v>N/A</v>
      </c>
      <c r="F317" t="str">
        <f t="shared" si="82"/>
        <v>N/A</v>
      </c>
      <c r="G317" t="str">
        <f t="shared" si="83"/>
        <v>DRY BOX</v>
      </c>
      <c r="H317" t="str">
        <f t="shared" si="84"/>
        <v>rramones</v>
      </c>
      <c r="I317" t="str">
        <f t="shared" si="85"/>
        <v>082</v>
      </c>
      <c r="J317" t="str">
        <f t="shared" si="71"/>
        <v>N</v>
      </c>
    </row>
    <row r="318" spans="1:10">
      <c r="A318" t="str">
        <f>"LE-053-01286"</f>
        <v>LE-053-01286</v>
      </c>
      <c r="B318" t="str">
        <f t="shared" si="81"/>
        <v>ACT</v>
      </c>
      <c r="C318" t="str">
        <f>"30"</f>
        <v>30</v>
      </c>
      <c r="D318" t="str">
        <f>"TQP09363"</f>
        <v>TQP09363</v>
      </c>
      <c r="E318" t="str">
        <f>"47 PRI V"</f>
        <v>47 PRI V</v>
      </c>
      <c r="F318" t="str">
        <f>"PHOTO"</f>
        <v>PHOTO</v>
      </c>
      <c r="G318" t="str">
        <f t="shared" si="83"/>
        <v>DRY BOX</v>
      </c>
      <c r="H318" t="str">
        <f t="shared" si="84"/>
        <v>rramones</v>
      </c>
      <c r="I318" t="str">
        <f t="shared" si="85"/>
        <v>082</v>
      </c>
      <c r="J318" t="str">
        <f t="shared" si="71"/>
        <v>N</v>
      </c>
    </row>
    <row r="319" spans="1:10">
      <c r="A319" t="str">
        <f>"0321LA01"</f>
        <v>0321LA01</v>
      </c>
      <c r="B319" t="str">
        <f t="shared" si="81"/>
        <v>ACT</v>
      </c>
      <c r="C319" t="str">
        <f>"06"</f>
        <v>06</v>
      </c>
      <c r="D319" t="str">
        <f>"TQP09363"</f>
        <v>TQP09363</v>
      </c>
      <c r="E319" t="str">
        <f>"48 PRI V"</f>
        <v>48 PRI V</v>
      </c>
      <c r="F319" t="str">
        <f>"PHOTO"</f>
        <v>PHOTO</v>
      </c>
      <c r="G319" t="str">
        <f t="shared" si="83"/>
        <v>DRY BOX</v>
      </c>
      <c r="H319" t="str">
        <f t="shared" si="84"/>
        <v>rramones</v>
      </c>
      <c r="I319" t="str">
        <f t="shared" si="85"/>
        <v>082</v>
      </c>
      <c r="J319" t="str">
        <f t="shared" si="71"/>
        <v>N</v>
      </c>
    </row>
    <row r="320" spans="1:10">
      <c r="A320" t="str">
        <f>"LE-053-02568"</f>
        <v>LE-053-02568</v>
      </c>
      <c r="B320" t="str">
        <f t="shared" si="81"/>
        <v>ACT</v>
      </c>
      <c r="C320" t="str">
        <f>"04"</f>
        <v>04</v>
      </c>
      <c r="D320" t="str">
        <f>"TQP09355"</f>
        <v>TQP09355</v>
      </c>
      <c r="E320" t="str">
        <f>"N/A"</f>
        <v>N/A</v>
      </c>
      <c r="F320" t="str">
        <f>"N/A"</f>
        <v>N/A</v>
      </c>
      <c r="G320" t="str">
        <f t="shared" si="83"/>
        <v>DRY BOX</v>
      </c>
      <c r="H320" t="str">
        <f t="shared" si="84"/>
        <v>rramones</v>
      </c>
      <c r="I320" t="str">
        <f t="shared" si="85"/>
        <v>082</v>
      </c>
      <c r="J320" t="str">
        <f t="shared" si="71"/>
        <v>N</v>
      </c>
    </row>
    <row r="321" spans="1:10">
      <c r="A321" t="str">
        <f>"LE-003-00765"</f>
        <v>LE-003-00765</v>
      </c>
      <c r="B321" t="str">
        <f>"INACT"</f>
        <v>INACT</v>
      </c>
      <c r="C321" t="str">
        <f t="shared" ref="C321:C343" si="86">"16"</f>
        <v>16</v>
      </c>
      <c r="D321" t="str">
        <f t="shared" ref="D321:D341" si="87">"N/A"</f>
        <v>N/A</v>
      </c>
      <c r="E321" t="str">
        <f>"930001"</f>
        <v>930001</v>
      </c>
      <c r="F321" t="str">
        <f t="shared" ref="F321:F334" si="88">"CAC-36T"</f>
        <v>CAC-36T</v>
      </c>
      <c r="G321" t="str">
        <f>"AIR BLOWER-FIBRAS"</f>
        <v>AIR BLOWER-FIBRAS</v>
      </c>
      <c r="H321" t="str">
        <f t="shared" ref="H321:H343" si="89">"jmaldonado"</f>
        <v>jmaldonado</v>
      </c>
      <c r="I321" t="str">
        <f t="shared" ref="I321:I334" si="90">"093"</f>
        <v>093</v>
      </c>
      <c r="J321" t="str">
        <f t="shared" si="71"/>
        <v>N</v>
      </c>
    </row>
    <row r="322" spans="1:10">
      <c r="A322" t="str">
        <f>"LE-003-00766"</f>
        <v>LE-003-00766</v>
      </c>
      <c r="B322" t="str">
        <f t="shared" ref="B322:B328" si="91">"ACT"</f>
        <v>ACT</v>
      </c>
      <c r="C322" t="str">
        <f t="shared" si="86"/>
        <v>16</v>
      </c>
      <c r="D322" t="str">
        <f t="shared" si="87"/>
        <v>N/A</v>
      </c>
      <c r="E322" t="str">
        <f>"930003"</f>
        <v>930003</v>
      </c>
      <c r="F322" t="str">
        <f t="shared" si="88"/>
        <v>CAC-36T</v>
      </c>
      <c r="G322" t="str">
        <f>"AIR BLOWER-CAFETERIA"</f>
        <v>AIR BLOWER-CAFETERIA</v>
      </c>
      <c r="H322" t="str">
        <f t="shared" si="89"/>
        <v>jmaldonado</v>
      </c>
      <c r="I322" t="str">
        <f t="shared" si="90"/>
        <v>093</v>
      </c>
      <c r="J322" t="str">
        <f t="shared" si="71"/>
        <v>N</v>
      </c>
    </row>
    <row r="323" spans="1:10">
      <c r="A323" t="str">
        <f>"LE-003-00767"</f>
        <v>LE-003-00767</v>
      </c>
      <c r="B323" t="str">
        <f t="shared" si="91"/>
        <v>ACT</v>
      </c>
      <c r="C323" t="str">
        <f t="shared" si="86"/>
        <v>16</v>
      </c>
      <c r="D323" t="str">
        <f t="shared" si="87"/>
        <v>N/A</v>
      </c>
      <c r="E323" t="str">
        <f>"929001"</f>
        <v>929001</v>
      </c>
      <c r="F323" t="str">
        <f t="shared" si="88"/>
        <v>CAC-36T</v>
      </c>
      <c r="G323" t="str">
        <f>"AIR BLOWER-MAYA"</f>
        <v>AIR BLOWER-MAYA</v>
      </c>
      <c r="H323" t="str">
        <f t="shared" si="89"/>
        <v>jmaldonado</v>
      </c>
      <c r="I323" t="str">
        <f t="shared" si="90"/>
        <v>093</v>
      </c>
      <c r="J323" t="str">
        <f t="shared" si="71"/>
        <v>N</v>
      </c>
    </row>
    <row r="324" spans="1:10">
      <c r="A324" t="str">
        <f>"LE-003-00768"</f>
        <v>LE-003-00768</v>
      </c>
      <c r="B324" t="str">
        <f t="shared" si="91"/>
        <v>ACT</v>
      </c>
      <c r="C324" t="str">
        <f t="shared" si="86"/>
        <v>16</v>
      </c>
      <c r="D324" t="str">
        <f t="shared" si="87"/>
        <v>N/A</v>
      </c>
      <c r="E324" t="str">
        <f>"930007"</f>
        <v>930007</v>
      </c>
      <c r="F324" t="str">
        <f t="shared" si="88"/>
        <v>CAC-36T</v>
      </c>
      <c r="G324" t="str">
        <f>"AIR BLOWER-ENTRADA DE PERSONAL"</f>
        <v>AIR BLOWER-ENTRADA DE PERSONAL</v>
      </c>
      <c r="H324" t="str">
        <f t="shared" si="89"/>
        <v>jmaldonado</v>
      </c>
      <c r="I324" t="str">
        <f t="shared" si="90"/>
        <v>093</v>
      </c>
      <c r="J324" t="str">
        <f t="shared" si="71"/>
        <v>N</v>
      </c>
    </row>
    <row r="325" spans="1:10">
      <c r="A325" t="str">
        <f>"LE-003-00769"</f>
        <v>LE-003-00769</v>
      </c>
      <c r="B325" t="str">
        <f t="shared" si="91"/>
        <v>ACT</v>
      </c>
      <c r="C325" t="str">
        <f t="shared" si="86"/>
        <v>16</v>
      </c>
      <c r="D325" t="str">
        <f t="shared" si="87"/>
        <v>N/A</v>
      </c>
      <c r="E325" t="str">
        <f>"930002"</f>
        <v>930002</v>
      </c>
      <c r="F325" t="str">
        <f t="shared" si="88"/>
        <v>CAC-36T</v>
      </c>
      <c r="G325" t="str">
        <f>"AIR BLOWER-SALIDA DE EMERGENCIA"</f>
        <v>AIR BLOWER-SALIDA DE EMERGENCIA</v>
      </c>
      <c r="H325" t="str">
        <f t="shared" si="89"/>
        <v>jmaldonado</v>
      </c>
      <c r="I325" t="str">
        <f t="shared" si="90"/>
        <v>093</v>
      </c>
      <c r="J325" t="str">
        <f t="shared" si="71"/>
        <v>N</v>
      </c>
    </row>
    <row r="326" spans="1:10">
      <c r="A326" t="str">
        <f>"LE-003-00770"</f>
        <v>LE-003-00770</v>
      </c>
      <c r="B326" t="str">
        <f t="shared" si="91"/>
        <v>ACT</v>
      </c>
      <c r="C326" t="str">
        <f t="shared" si="86"/>
        <v>16</v>
      </c>
      <c r="D326" t="str">
        <f t="shared" si="87"/>
        <v>N/A</v>
      </c>
      <c r="E326" t="str">
        <f>"930005"</f>
        <v>930005</v>
      </c>
      <c r="F326" t="str">
        <f t="shared" si="88"/>
        <v>CAC-36T</v>
      </c>
      <c r="G326" t="str">
        <f>"AIR BLOWER-ENTRADA DE PERSONAL"</f>
        <v>AIR BLOWER-ENTRADA DE PERSONAL</v>
      </c>
      <c r="H326" t="str">
        <f t="shared" si="89"/>
        <v>jmaldonado</v>
      </c>
      <c r="I326" t="str">
        <f t="shared" si="90"/>
        <v>093</v>
      </c>
      <c r="J326" t="str">
        <f t="shared" si="71"/>
        <v>N</v>
      </c>
    </row>
    <row r="327" spans="1:10">
      <c r="A327" t="str">
        <f>"LE-003-00771"</f>
        <v>LE-003-00771</v>
      </c>
      <c r="B327" t="str">
        <f t="shared" si="91"/>
        <v>ACT</v>
      </c>
      <c r="C327" t="str">
        <f t="shared" si="86"/>
        <v>16</v>
      </c>
      <c r="D327" t="str">
        <f t="shared" si="87"/>
        <v>N/A</v>
      </c>
      <c r="E327" t="str">
        <f>"1034001"</f>
        <v>1034001</v>
      </c>
      <c r="F327" t="str">
        <f t="shared" si="88"/>
        <v>CAC-36T</v>
      </c>
      <c r="G327" t="str">
        <f>"AIR BLOWER- IMPORT-EXPORT"</f>
        <v>AIR BLOWER- IMPORT-EXPORT</v>
      </c>
      <c r="H327" t="str">
        <f t="shared" si="89"/>
        <v>jmaldonado</v>
      </c>
      <c r="I327" t="str">
        <f t="shared" si="90"/>
        <v>093</v>
      </c>
      <c r="J327" t="str">
        <f t="shared" ref="J327:J390" si="92">"N"</f>
        <v>N</v>
      </c>
    </row>
    <row r="328" spans="1:10">
      <c r="A328" t="str">
        <f>"LE-003-00772"</f>
        <v>LE-003-00772</v>
      </c>
      <c r="B328" t="str">
        <f t="shared" si="91"/>
        <v>ACT</v>
      </c>
      <c r="C328" t="str">
        <f t="shared" si="86"/>
        <v>16</v>
      </c>
      <c r="D328" t="str">
        <f t="shared" si="87"/>
        <v>N/A</v>
      </c>
      <c r="E328" t="str">
        <f>"930006"</f>
        <v>930006</v>
      </c>
      <c r="F328" t="str">
        <f t="shared" si="88"/>
        <v>CAC-36T</v>
      </c>
      <c r="G328" t="str">
        <f>"AIR BLOWER-ALMACEN"</f>
        <v>AIR BLOWER-ALMACEN</v>
      </c>
      <c r="H328" t="str">
        <f t="shared" si="89"/>
        <v>jmaldonado</v>
      </c>
      <c r="I328" t="str">
        <f t="shared" si="90"/>
        <v>093</v>
      </c>
      <c r="J328" t="str">
        <f t="shared" si="92"/>
        <v>N</v>
      </c>
    </row>
    <row r="329" spans="1:10">
      <c r="A329" t="str">
        <f>"LE-003-00773"</f>
        <v>LE-003-00773</v>
      </c>
      <c r="B329" t="str">
        <f>"INACT"</f>
        <v>INACT</v>
      </c>
      <c r="C329" t="str">
        <f t="shared" si="86"/>
        <v>16</v>
      </c>
      <c r="D329" t="str">
        <f t="shared" si="87"/>
        <v>N/A</v>
      </c>
      <c r="E329" t="str">
        <f>"1034002"</f>
        <v>1034002</v>
      </c>
      <c r="F329" t="str">
        <f t="shared" si="88"/>
        <v>CAC-36T</v>
      </c>
      <c r="G329" t="str">
        <f>"AIR BLOWER-FIBRAS"</f>
        <v>AIR BLOWER-FIBRAS</v>
      </c>
      <c r="H329" t="str">
        <f t="shared" si="89"/>
        <v>jmaldonado</v>
      </c>
      <c r="I329" t="str">
        <f t="shared" si="90"/>
        <v>093</v>
      </c>
      <c r="J329" t="str">
        <f t="shared" si="92"/>
        <v>N</v>
      </c>
    </row>
    <row r="330" spans="1:10">
      <c r="A330" t="str">
        <f>"LE-003-00774"</f>
        <v>LE-003-00774</v>
      </c>
      <c r="B330" t="str">
        <f t="shared" ref="B330:B335" si="93">"ACT"</f>
        <v>ACT</v>
      </c>
      <c r="C330" t="str">
        <f t="shared" si="86"/>
        <v>16</v>
      </c>
      <c r="D330" t="str">
        <f t="shared" si="87"/>
        <v>N/A</v>
      </c>
      <c r="E330" t="str">
        <f>"930009"</f>
        <v>930009</v>
      </c>
      <c r="F330" t="str">
        <f t="shared" si="88"/>
        <v>CAC-36T</v>
      </c>
      <c r="G330" t="str">
        <f>"AIR BLOWER-CAFETERIA"</f>
        <v>AIR BLOWER-CAFETERIA</v>
      </c>
      <c r="H330" t="str">
        <f t="shared" si="89"/>
        <v>jmaldonado</v>
      </c>
      <c r="I330" t="str">
        <f t="shared" si="90"/>
        <v>093</v>
      </c>
      <c r="J330" t="str">
        <f t="shared" si="92"/>
        <v>N</v>
      </c>
    </row>
    <row r="331" spans="1:10">
      <c r="A331" t="str">
        <f>"LE-003-00775"</f>
        <v>LE-003-00775</v>
      </c>
      <c r="B331" t="str">
        <f t="shared" si="93"/>
        <v>ACT</v>
      </c>
      <c r="C331" t="str">
        <f t="shared" si="86"/>
        <v>16</v>
      </c>
      <c r="D331" t="str">
        <f t="shared" si="87"/>
        <v>N/A</v>
      </c>
      <c r="E331" t="str">
        <f>"929000"</f>
        <v>929000</v>
      </c>
      <c r="F331" t="str">
        <f t="shared" si="88"/>
        <v>CAC-36T</v>
      </c>
      <c r="G331" t="str">
        <f>"AIR BLOWER-MAYA"</f>
        <v>AIR BLOWER-MAYA</v>
      </c>
      <c r="H331" t="str">
        <f t="shared" si="89"/>
        <v>jmaldonado</v>
      </c>
      <c r="I331" t="str">
        <f t="shared" si="90"/>
        <v>093</v>
      </c>
      <c r="J331" t="str">
        <f t="shared" si="92"/>
        <v>N</v>
      </c>
    </row>
    <row r="332" spans="1:10">
      <c r="A332" t="str">
        <f>"LE-003-00776"</f>
        <v>LE-003-00776</v>
      </c>
      <c r="B332" t="str">
        <f t="shared" si="93"/>
        <v>ACT</v>
      </c>
      <c r="C332" t="str">
        <f t="shared" si="86"/>
        <v>16</v>
      </c>
      <c r="D332" t="str">
        <f t="shared" si="87"/>
        <v>N/A</v>
      </c>
      <c r="E332" t="str">
        <f>"1034000"</f>
        <v>1034000</v>
      </c>
      <c r="F332" t="str">
        <f t="shared" si="88"/>
        <v>CAC-36T</v>
      </c>
      <c r="G332" t="str">
        <f>"AIR BLOWER-SALIDA DE EMERGENCIA"</f>
        <v>AIR BLOWER-SALIDA DE EMERGENCIA</v>
      </c>
      <c r="H332" t="str">
        <f t="shared" si="89"/>
        <v>jmaldonado</v>
      </c>
      <c r="I332" t="str">
        <f t="shared" si="90"/>
        <v>093</v>
      </c>
      <c r="J332" t="str">
        <f t="shared" si="92"/>
        <v>N</v>
      </c>
    </row>
    <row r="333" spans="1:10">
      <c r="A333" t="str">
        <f>"LE-003-00778"</f>
        <v>LE-003-00778</v>
      </c>
      <c r="B333" t="str">
        <f t="shared" si="93"/>
        <v>ACT</v>
      </c>
      <c r="C333" t="str">
        <f t="shared" si="86"/>
        <v>16</v>
      </c>
      <c r="D333" t="str">
        <f t="shared" si="87"/>
        <v>N/A</v>
      </c>
      <c r="E333" t="str">
        <f>"930000"</f>
        <v>930000</v>
      </c>
      <c r="F333" t="str">
        <f t="shared" si="88"/>
        <v>CAC-36T</v>
      </c>
      <c r="G333" t="str">
        <f>"AIR BLOWER-ENTRADA DE PERSONAL"</f>
        <v>AIR BLOWER-ENTRADA DE PERSONAL</v>
      </c>
      <c r="H333" t="str">
        <f t="shared" si="89"/>
        <v>jmaldonado</v>
      </c>
      <c r="I333" t="str">
        <f t="shared" si="90"/>
        <v>093</v>
      </c>
      <c r="J333" t="str">
        <f t="shared" si="92"/>
        <v>N</v>
      </c>
    </row>
    <row r="334" spans="1:10">
      <c r="A334" t="str">
        <f>"LE-003-00779"</f>
        <v>LE-003-00779</v>
      </c>
      <c r="B334" t="str">
        <f t="shared" si="93"/>
        <v>ACT</v>
      </c>
      <c r="C334" t="str">
        <f t="shared" si="86"/>
        <v>16</v>
      </c>
      <c r="D334" t="str">
        <f t="shared" si="87"/>
        <v>N/A</v>
      </c>
      <c r="E334" t="str">
        <f>"1034003"</f>
        <v>1034003</v>
      </c>
      <c r="F334" t="str">
        <f t="shared" si="88"/>
        <v>CAC-36T</v>
      </c>
      <c r="G334" t="str">
        <f>"AIR BLOWER-ENTRADA DE PERSONAL"</f>
        <v>AIR BLOWER-ENTRADA DE PERSONAL</v>
      </c>
      <c r="H334" t="str">
        <f t="shared" si="89"/>
        <v>jmaldonado</v>
      </c>
      <c r="I334" t="str">
        <f t="shared" si="90"/>
        <v>093</v>
      </c>
      <c r="J334" t="str">
        <f t="shared" si="92"/>
        <v>N</v>
      </c>
    </row>
    <row r="335" spans="1:10">
      <c r="A335" t="str">
        <f>"LE-097-01077"</f>
        <v>LE-097-01077</v>
      </c>
      <c r="B335" t="str">
        <f t="shared" si="93"/>
        <v>ACT</v>
      </c>
      <c r="C335" t="str">
        <f t="shared" si="86"/>
        <v>16</v>
      </c>
      <c r="D335" t="str">
        <f t="shared" si="87"/>
        <v>N/A</v>
      </c>
      <c r="E335" t="str">
        <f>"3700F31503"</f>
        <v>3700F31503</v>
      </c>
      <c r="F335" t="str">
        <f>"50TJ-28-670YA"</f>
        <v>50TJ-28-670YA</v>
      </c>
      <c r="G335" t="str">
        <f>"AIR CONDITIONER-LOBBY"</f>
        <v>AIR CONDITIONER-LOBBY</v>
      </c>
      <c r="H335" t="str">
        <f t="shared" si="89"/>
        <v>jmaldonado</v>
      </c>
      <c r="I335" t="str">
        <f>"017"</f>
        <v>017</v>
      </c>
      <c r="J335" t="str">
        <f t="shared" si="92"/>
        <v>N</v>
      </c>
    </row>
    <row r="336" spans="1:10">
      <c r="A336" t="str">
        <f>"LE-097-01078"</f>
        <v>LE-097-01078</v>
      </c>
      <c r="B336" t="str">
        <f>"INACT"</f>
        <v>INACT</v>
      </c>
      <c r="C336" t="str">
        <f t="shared" si="86"/>
        <v>16</v>
      </c>
      <c r="D336" t="str">
        <f t="shared" si="87"/>
        <v>N/A</v>
      </c>
      <c r="E336" t="str">
        <f>"1000F84348"</f>
        <v>1000F84348</v>
      </c>
      <c r="F336" t="str">
        <f>"50TJ-28-670YA"</f>
        <v>50TJ-28-670YA</v>
      </c>
      <c r="G336" t="str">
        <f>"AIR CONDITIONER-PRODUCCION"</f>
        <v>AIR CONDITIONER-PRODUCCION</v>
      </c>
      <c r="H336" t="str">
        <f t="shared" si="89"/>
        <v>jmaldonado</v>
      </c>
      <c r="I336" t="str">
        <f>"017"</f>
        <v>017</v>
      </c>
      <c r="J336" t="str">
        <f t="shared" si="92"/>
        <v>N</v>
      </c>
    </row>
    <row r="337" spans="1:10">
      <c r="A337" t="str">
        <f>"LE-097-01079"</f>
        <v>LE-097-01079</v>
      </c>
      <c r="B337" t="str">
        <f>"INACT"</f>
        <v>INACT</v>
      </c>
      <c r="C337" t="str">
        <f t="shared" si="86"/>
        <v>16</v>
      </c>
      <c r="D337" t="str">
        <f t="shared" si="87"/>
        <v>N/A</v>
      </c>
      <c r="E337" t="str">
        <f>"3300F25484"</f>
        <v>3300F25484</v>
      </c>
      <c r="F337" t="str">
        <f>"50TJ-28-670YA"</f>
        <v>50TJ-28-670YA</v>
      </c>
      <c r="G337" t="str">
        <f>"AIR CONDITIONER-PRODUCCION"</f>
        <v>AIR CONDITIONER-PRODUCCION</v>
      </c>
      <c r="H337" t="str">
        <f t="shared" si="89"/>
        <v>jmaldonado</v>
      </c>
      <c r="I337" t="str">
        <f>"017"</f>
        <v>017</v>
      </c>
      <c r="J337" t="str">
        <f t="shared" si="92"/>
        <v>N</v>
      </c>
    </row>
    <row r="338" spans="1:10">
      <c r="A338" t="str">
        <f>"LE-097-01080"</f>
        <v>LE-097-01080</v>
      </c>
      <c r="B338" t="str">
        <f>"ACT"</f>
        <v>ACT</v>
      </c>
      <c r="C338" t="str">
        <f t="shared" si="86"/>
        <v>16</v>
      </c>
      <c r="D338" t="str">
        <f t="shared" si="87"/>
        <v>N/A</v>
      </c>
      <c r="E338" t="str">
        <f>"1900F01237"</f>
        <v>1900F01237</v>
      </c>
      <c r="F338" t="str">
        <f>"50TJ-024-670YA"</f>
        <v>50TJ-024-670YA</v>
      </c>
      <c r="G338" t="str">
        <f>"AIR CONDITIONER-IMPOR-EXPORT"</f>
        <v>AIR CONDITIONER-IMPOR-EXPORT</v>
      </c>
      <c r="H338" t="str">
        <f t="shared" si="89"/>
        <v>jmaldonado</v>
      </c>
      <c r="I338" t="str">
        <f>"017"</f>
        <v>017</v>
      </c>
      <c r="J338" t="str">
        <f t="shared" si="92"/>
        <v>N</v>
      </c>
    </row>
    <row r="339" spans="1:10">
      <c r="A339" t="str">
        <f>"LE-097-01093"</f>
        <v>LE-097-01093</v>
      </c>
      <c r="B339" t="str">
        <f>"ACT"</f>
        <v>ACT</v>
      </c>
      <c r="C339" t="str">
        <f t="shared" si="86"/>
        <v>16</v>
      </c>
      <c r="D339" t="str">
        <f t="shared" si="87"/>
        <v>N/A</v>
      </c>
      <c r="E339" t="str">
        <f>"4600F44683"</f>
        <v>4600F44683</v>
      </c>
      <c r="F339" t="str">
        <f>"50TJ-28-670AE"</f>
        <v>50TJ-28-670AE</v>
      </c>
      <c r="G339" t="str">
        <f>"AIR CONDITIONER-PRODUCCION"</f>
        <v>AIR CONDITIONER-PRODUCCION</v>
      </c>
      <c r="H339" t="str">
        <f t="shared" si="89"/>
        <v>jmaldonado</v>
      </c>
      <c r="I339" t="str">
        <f>"017"</f>
        <v>017</v>
      </c>
      <c r="J339" t="str">
        <f t="shared" si="92"/>
        <v>N</v>
      </c>
    </row>
    <row r="340" spans="1:10">
      <c r="A340" t="str">
        <f>"LE-010-24176"</f>
        <v>LE-010-24176</v>
      </c>
      <c r="B340" t="str">
        <f>"INACT"</f>
        <v>INACT</v>
      </c>
      <c r="C340" t="str">
        <f t="shared" si="86"/>
        <v>16</v>
      </c>
      <c r="D340" t="str">
        <f t="shared" si="87"/>
        <v>N/A</v>
      </c>
      <c r="E340" t="str">
        <f>"DO53496"</f>
        <v>DO53496</v>
      </c>
      <c r="F340" t="str">
        <f>"PFCO67A-AL0"</f>
        <v>PFCO67A-AL0</v>
      </c>
      <c r="G340" t="str">
        <f>"AIR HANDLER-INCOMING"</f>
        <v>AIR HANDLER-INCOMING</v>
      </c>
      <c r="H340" t="str">
        <f t="shared" si="89"/>
        <v>jmaldonado</v>
      </c>
      <c r="I340" t="str">
        <f>"045"</f>
        <v>045</v>
      </c>
      <c r="J340" t="str">
        <f t="shared" si="92"/>
        <v>N</v>
      </c>
    </row>
    <row r="341" spans="1:10">
      <c r="A341" t="str">
        <f>"LE-010-28123"</f>
        <v>LE-010-28123</v>
      </c>
      <c r="B341" t="str">
        <f>"ACT"</f>
        <v>ACT</v>
      </c>
      <c r="C341" t="str">
        <f t="shared" si="86"/>
        <v>16</v>
      </c>
      <c r="D341" t="str">
        <f t="shared" si="87"/>
        <v>N/A</v>
      </c>
      <c r="E341" t="str">
        <f>"153746-2"</f>
        <v>153746-2</v>
      </c>
      <c r="F341" t="str">
        <f>"E7ATBC3400N5C"</f>
        <v>E7ATBC3400N5C</v>
      </c>
      <c r="G341" t="str">
        <f>"ATS TRANSFER SWITCH- SISTEMAS"</f>
        <v>ATS TRANSFER SWITCH- SISTEMAS</v>
      </c>
      <c r="H341" t="str">
        <f t="shared" si="89"/>
        <v>jmaldonado</v>
      </c>
      <c r="I341" t="str">
        <f>"010"</f>
        <v>010</v>
      </c>
      <c r="J341" t="str">
        <f t="shared" si="92"/>
        <v>N</v>
      </c>
    </row>
    <row r="342" spans="1:10">
      <c r="A342" t="str">
        <f>"LE-016-00097"</f>
        <v>LE-016-00097</v>
      </c>
      <c r="B342" t="str">
        <f>"ACT"</f>
        <v>ACT</v>
      </c>
      <c r="C342" t="str">
        <f t="shared" si="86"/>
        <v>16</v>
      </c>
      <c r="D342" t="str">
        <f>"TQP14408"</f>
        <v>TQP14408</v>
      </c>
      <c r="E342" t="str">
        <f>"11535"</f>
        <v>11535</v>
      </c>
      <c r="F342" t="str">
        <f>"60HDD"</f>
        <v>60HDD</v>
      </c>
      <c r="G342" t="str">
        <f>"BALING MACHINE- AREA DE RECICLADO"</f>
        <v>BALING MACHINE- AREA DE RECICLADO</v>
      </c>
      <c r="H342" t="str">
        <f t="shared" si="89"/>
        <v>jmaldonado</v>
      </c>
      <c r="I342" t="str">
        <f>"015"</f>
        <v>015</v>
      </c>
      <c r="J342" t="str">
        <f t="shared" si="92"/>
        <v>N</v>
      </c>
    </row>
    <row r="343" spans="1:10">
      <c r="A343" t="str">
        <f>"LE-016-00096"</f>
        <v>LE-016-00096</v>
      </c>
      <c r="B343" t="str">
        <f>"INACT"</f>
        <v>INACT</v>
      </c>
      <c r="C343" t="str">
        <f t="shared" si="86"/>
        <v>16</v>
      </c>
      <c r="D343" t="str">
        <f>"TQP14409"</f>
        <v>TQP14409</v>
      </c>
      <c r="E343" t="str">
        <f>"200089"</f>
        <v>200089</v>
      </c>
      <c r="F343" t="str">
        <f>"42-S/MANUAL"</f>
        <v>42-S/MANUAL</v>
      </c>
      <c r="G343" t="str">
        <f>"BALING MACHINE- AREA DE RECICLADO"</f>
        <v>BALING MACHINE- AREA DE RECICLADO</v>
      </c>
      <c r="H343" t="str">
        <f t="shared" si="89"/>
        <v>jmaldonado</v>
      </c>
      <c r="I343" t="str">
        <f>"015"</f>
        <v>015</v>
      </c>
      <c r="J343" t="str">
        <f t="shared" si="92"/>
        <v>N</v>
      </c>
    </row>
    <row r="344" spans="1:10">
      <c r="A344" t="str">
        <f>"0425LD00"</f>
        <v>0425LD00</v>
      </c>
      <c r="B344" t="str">
        <f t="shared" ref="B344:B360" si="94">"ACT"</f>
        <v>ACT</v>
      </c>
      <c r="C344" t="str">
        <f>"04"</f>
        <v>04</v>
      </c>
      <c r="D344" t="str">
        <f>"TQP09355"</f>
        <v>TQP09355</v>
      </c>
      <c r="E344" t="str">
        <f t="shared" ref="E344:F346" si="95">"N/A"</f>
        <v>N/A</v>
      </c>
      <c r="F344" t="str">
        <f t="shared" si="95"/>
        <v>N/A</v>
      </c>
      <c r="G344" t="str">
        <f>"DRY BOX"</f>
        <v>DRY BOX</v>
      </c>
      <c r="H344" t="str">
        <f>"rramones"</f>
        <v>rramones</v>
      </c>
      <c r="I344" t="str">
        <f t="shared" ref="I344:I360" si="96">"082"</f>
        <v>082</v>
      </c>
      <c r="J344" t="str">
        <f t="shared" si="92"/>
        <v>N</v>
      </c>
    </row>
    <row r="345" spans="1:10">
      <c r="A345" t="str">
        <f>"LE-053-02831"</f>
        <v>LE-053-02831</v>
      </c>
      <c r="B345" t="str">
        <f t="shared" si="94"/>
        <v>ACT</v>
      </c>
      <c r="C345" t="str">
        <f>"04"</f>
        <v>04</v>
      </c>
      <c r="D345" t="str">
        <f>"N/A"</f>
        <v>N/A</v>
      </c>
      <c r="E345" t="str">
        <f t="shared" si="95"/>
        <v>N/A</v>
      </c>
      <c r="F345" t="str">
        <f t="shared" si="95"/>
        <v>N/A</v>
      </c>
      <c r="G345" t="str">
        <f>"DRY BOX"</f>
        <v>DRY BOX</v>
      </c>
      <c r="H345" t="str">
        <f>"rramones"</f>
        <v>rramones</v>
      </c>
      <c r="I345" t="str">
        <f t="shared" si="96"/>
        <v>082</v>
      </c>
      <c r="J345" t="str">
        <f t="shared" si="92"/>
        <v>N</v>
      </c>
    </row>
    <row r="346" spans="1:10">
      <c r="A346" t="str">
        <f>"LE-010-28616"</f>
        <v>LE-010-28616</v>
      </c>
      <c r="B346" t="str">
        <f t="shared" si="94"/>
        <v>ACT</v>
      </c>
      <c r="C346" t="str">
        <f>"04"</f>
        <v>04</v>
      </c>
      <c r="D346" t="str">
        <f>"N/A"</f>
        <v>N/A</v>
      </c>
      <c r="E346" t="str">
        <f t="shared" si="95"/>
        <v>N/A</v>
      </c>
      <c r="F346" t="str">
        <f t="shared" si="95"/>
        <v>N/A</v>
      </c>
      <c r="G346" t="str">
        <f>"DRY BOX"</f>
        <v>DRY BOX</v>
      </c>
      <c r="H346" t="str">
        <f>"rramones"</f>
        <v>rramones</v>
      </c>
      <c r="I346" t="str">
        <f t="shared" si="96"/>
        <v>082</v>
      </c>
      <c r="J346" t="str">
        <f t="shared" si="92"/>
        <v>N</v>
      </c>
    </row>
    <row r="347" spans="1:10">
      <c r="A347" t="str">
        <f>"LE-010-28659"</f>
        <v>LE-010-28659</v>
      </c>
      <c r="B347" t="str">
        <f t="shared" si="94"/>
        <v>ACT</v>
      </c>
      <c r="C347" t="str">
        <f t="shared" ref="C347:C354" si="97">"24"</f>
        <v>24</v>
      </c>
      <c r="D347" t="str">
        <f>"N/A"</f>
        <v>N/A</v>
      </c>
      <c r="E347" t="str">
        <f>"ISO200502-004"</f>
        <v>ISO200502-004</v>
      </c>
      <c r="F347" t="str">
        <f>"ISO200502"</f>
        <v>ISO200502</v>
      </c>
      <c r="G347" t="str">
        <f>"DRY BOX # 6"</f>
        <v>DRY BOX # 6</v>
      </c>
      <c r="H347" t="str">
        <f t="shared" ref="H347:H354" si="98">"alopez"</f>
        <v>alopez</v>
      </c>
      <c r="I347" t="str">
        <f t="shared" si="96"/>
        <v>082</v>
      </c>
      <c r="J347" t="str">
        <f t="shared" si="92"/>
        <v>N</v>
      </c>
    </row>
    <row r="348" spans="1:10">
      <c r="A348" t="str">
        <f>"LE-053-02943"</f>
        <v>LE-053-02943</v>
      </c>
      <c r="B348" t="str">
        <f t="shared" si="94"/>
        <v>ACT</v>
      </c>
      <c r="C348" t="str">
        <f t="shared" si="97"/>
        <v>24</v>
      </c>
      <c r="D348" t="str">
        <f>"N/A"</f>
        <v>N/A</v>
      </c>
      <c r="E348" t="str">
        <f t="shared" ref="E348:F360" si="99">"N/A"</f>
        <v>N/A</v>
      </c>
      <c r="F348" t="str">
        <f t="shared" si="99"/>
        <v>N/A</v>
      </c>
      <c r="G348" t="str">
        <f>"DRY BOX # 5"</f>
        <v>DRY BOX # 5</v>
      </c>
      <c r="H348" t="str">
        <f t="shared" si="98"/>
        <v>alopez</v>
      </c>
      <c r="I348" t="str">
        <f t="shared" si="96"/>
        <v>082</v>
      </c>
      <c r="J348" t="str">
        <f t="shared" si="92"/>
        <v>N</v>
      </c>
    </row>
    <row r="349" spans="1:10">
      <c r="A349" t="str">
        <f>"0716AL00"</f>
        <v>0716AL00</v>
      </c>
      <c r="B349" t="str">
        <f t="shared" si="94"/>
        <v>ACT</v>
      </c>
      <c r="C349" t="str">
        <f t="shared" si="97"/>
        <v>24</v>
      </c>
      <c r="D349" t="str">
        <f>"A002443 "</f>
        <v xml:space="preserve">A002443 </v>
      </c>
      <c r="E349" t="str">
        <f t="shared" si="99"/>
        <v>N/A</v>
      </c>
      <c r="F349" t="str">
        <f t="shared" si="99"/>
        <v>N/A</v>
      </c>
      <c r="G349" t="str">
        <f>"DRY BOX # 1"</f>
        <v>DRY BOX # 1</v>
      </c>
      <c r="H349" t="str">
        <f t="shared" si="98"/>
        <v>alopez</v>
      </c>
      <c r="I349" t="str">
        <f t="shared" si="96"/>
        <v>082</v>
      </c>
      <c r="J349" t="str">
        <f t="shared" si="92"/>
        <v>N</v>
      </c>
    </row>
    <row r="350" spans="1:10">
      <c r="A350" t="str">
        <f>"0716AL01"</f>
        <v>0716AL01</v>
      </c>
      <c r="B350" t="str">
        <f t="shared" si="94"/>
        <v>ACT</v>
      </c>
      <c r="C350" t="str">
        <f t="shared" si="97"/>
        <v>24</v>
      </c>
      <c r="D350" t="str">
        <f>"A002443 "</f>
        <v xml:space="preserve">A002443 </v>
      </c>
      <c r="E350" t="str">
        <f t="shared" si="99"/>
        <v>N/A</v>
      </c>
      <c r="F350" t="str">
        <f t="shared" si="99"/>
        <v>N/A</v>
      </c>
      <c r="G350" t="str">
        <f>"DRY BOX # 2"</f>
        <v>DRY BOX # 2</v>
      </c>
      <c r="H350" t="str">
        <f t="shared" si="98"/>
        <v>alopez</v>
      </c>
      <c r="I350" t="str">
        <f t="shared" si="96"/>
        <v>082</v>
      </c>
      <c r="J350" t="str">
        <f t="shared" si="92"/>
        <v>N</v>
      </c>
    </row>
    <row r="351" spans="1:10">
      <c r="A351" t="str">
        <f>"0716AL02"</f>
        <v>0716AL02</v>
      </c>
      <c r="B351" t="str">
        <f t="shared" si="94"/>
        <v>ACT</v>
      </c>
      <c r="C351" t="str">
        <f t="shared" si="97"/>
        <v>24</v>
      </c>
      <c r="D351" t="str">
        <f>"A012073"</f>
        <v>A012073</v>
      </c>
      <c r="E351" t="str">
        <f t="shared" si="99"/>
        <v>N/A</v>
      </c>
      <c r="F351" t="str">
        <f t="shared" si="99"/>
        <v>N/A</v>
      </c>
      <c r="G351" t="str">
        <f>"DRY BOX # 3"</f>
        <v>DRY BOX # 3</v>
      </c>
      <c r="H351" t="str">
        <f t="shared" si="98"/>
        <v>alopez</v>
      </c>
      <c r="I351" t="str">
        <f t="shared" si="96"/>
        <v>082</v>
      </c>
      <c r="J351" t="str">
        <f t="shared" si="92"/>
        <v>N</v>
      </c>
    </row>
    <row r="352" spans="1:10">
      <c r="A352" t="str">
        <f>"0716AL03"</f>
        <v>0716AL03</v>
      </c>
      <c r="B352" t="str">
        <f t="shared" si="94"/>
        <v>ACT</v>
      </c>
      <c r="C352" t="str">
        <f t="shared" si="97"/>
        <v>24</v>
      </c>
      <c r="D352" t="str">
        <f>"A012073"</f>
        <v>A012073</v>
      </c>
      <c r="E352" t="str">
        <f t="shared" si="99"/>
        <v>N/A</v>
      </c>
      <c r="F352" t="str">
        <f t="shared" si="99"/>
        <v>N/A</v>
      </c>
      <c r="G352" t="str">
        <f>"DRY BOX # 4"</f>
        <v>DRY BOX # 4</v>
      </c>
      <c r="H352" t="str">
        <f t="shared" si="98"/>
        <v>alopez</v>
      </c>
      <c r="I352" t="str">
        <f t="shared" si="96"/>
        <v>082</v>
      </c>
      <c r="J352" t="str">
        <f t="shared" si="92"/>
        <v>N</v>
      </c>
    </row>
    <row r="353" spans="1:10">
      <c r="A353" t="str">
        <f>"0323MD01"</f>
        <v>0323MD01</v>
      </c>
      <c r="B353" t="str">
        <f t="shared" si="94"/>
        <v>ACT</v>
      </c>
      <c r="C353" t="str">
        <f t="shared" si="97"/>
        <v>24</v>
      </c>
      <c r="D353" t="str">
        <f>"N/A"</f>
        <v>N/A</v>
      </c>
      <c r="E353" t="str">
        <f t="shared" si="99"/>
        <v>N/A</v>
      </c>
      <c r="F353" t="str">
        <f t="shared" si="99"/>
        <v>N/A</v>
      </c>
      <c r="G353" t="str">
        <f>"DRY BOX # 7"</f>
        <v>DRY BOX # 7</v>
      </c>
      <c r="H353" t="str">
        <f t="shared" si="98"/>
        <v>alopez</v>
      </c>
      <c r="I353" t="str">
        <f t="shared" si="96"/>
        <v>082</v>
      </c>
      <c r="J353" t="str">
        <f t="shared" si="92"/>
        <v>N</v>
      </c>
    </row>
    <row r="354" spans="1:10">
      <c r="A354" t="str">
        <f>"0716AL04"</f>
        <v>0716AL04</v>
      </c>
      <c r="B354" t="str">
        <f t="shared" si="94"/>
        <v>ACT</v>
      </c>
      <c r="C354" t="str">
        <f t="shared" si="97"/>
        <v>24</v>
      </c>
      <c r="D354" t="str">
        <f>"N/A"</f>
        <v>N/A</v>
      </c>
      <c r="E354" t="str">
        <f t="shared" si="99"/>
        <v>N/A</v>
      </c>
      <c r="F354" t="str">
        <f t="shared" si="99"/>
        <v>N/A</v>
      </c>
      <c r="G354" t="str">
        <f>"DRY BOX # 8"</f>
        <v>DRY BOX # 8</v>
      </c>
      <c r="H354" t="str">
        <f t="shared" si="98"/>
        <v>alopez</v>
      </c>
      <c r="I354" t="str">
        <f t="shared" si="96"/>
        <v>082</v>
      </c>
      <c r="J354" t="str">
        <f t="shared" si="92"/>
        <v>N</v>
      </c>
    </row>
    <row r="355" spans="1:10">
      <c r="A355" t="str">
        <f>"0716AL05"</f>
        <v>0716AL05</v>
      </c>
      <c r="B355" t="str">
        <f t="shared" si="94"/>
        <v>ACT</v>
      </c>
      <c r="C355" t="str">
        <f>"26"</f>
        <v>26</v>
      </c>
      <c r="D355" t="str">
        <f>"A002424"</f>
        <v>A002424</v>
      </c>
      <c r="E355" t="str">
        <f t="shared" si="99"/>
        <v>N/A</v>
      </c>
      <c r="F355" t="str">
        <f t="shared" si="99"/>
        <v>N/A</v>
      </c>
      <c r="G355" t="str">
        <f>"DRY BOX # 9"</f>
        <v>DRY BOX # 9</v>
      </c>
      <c r="H355" t="str">
        <f>"garaiza"</f>
        <v>garaiza</v>
      </c>
      <c r="I355" t="str">
        <f t="shared" si="96"/>
        <v>082</v>
      </c>
      <c r="J355" t="str">
        <f t="shared" si="92"/>
        <v>N</v>
      </c>
    </row>
    <row r="356" spans="1:10">
      <c r="A356" t="str">
        <f>"0716AL06"</f>
        <v>0716AL06</v>
      </c>
      <c r="B356" t="str">
        <f t="shared" si="94"/>
        <v>ACT</v>
      </c>
      <c r="C356" t="str">
        <f>"24"</f>
        <v>24</v>
      </c>
      <c r="D356" t="str">
        <f>"A002424"</f>
        <v>A002424</v>
      </c>
      <c r="E356" t="str">
        <f t="shared" si="99"/>
        <v>N/A</v>
      </c>
      <c r="F356" t="str">
        <f t="shared" si="99"/>
        <v>N/A</v>
      </c>
      <c r="G356" t="str">
        <f>"DRY BOX # 10"</f>
        <v>DRY BOX # 10</v>
      </c>
      <c r="H356" t="str">
        <f>"alopez"</f>
        <v>alopez</v>
      </c>
      <c r="I356" t="str">
        <f t="shared" si="96"/>
        <v>082</v>
      </c>
      <c r="J356" t="str">
        <f t="shared" si="92"/>
        <v>N</v>
      </c>
    </row>
    <row r="357" spans="1:10">
      <c r="A357" t="str">
        <f>"0716AL07"</f>
        <v>0716AL07</v>
      </c>
      <c r="B357" t="str">
        <f t="shared" si="94"/>
        <v>ACT</v>
      </c>
      <c r="C357" t="str">
        <f>"24"</f>
        <v>24</v>
      </c>
      <c r="D357" t="str">
        <f>"A002278"</f>
        <v>A002278</v>
      </c>
      <c r="E357" t="str">
        <f t="shared" si="99"/>
        <v>N/A</v>
      </c>
      <c r="F357" t="str">
        <f t="shared" si="99"/>
        <v>N/A</v>
      </c>
      <c r="G357" t="str">
        <f>"DRY BOX # 11"</f>
        <v>DRY BOX # 11</v>
      </c>
      <c r="H357" t="str">
        <f>"alopez"</f>
        <v>alopez</v>
      </c>
      <c r="I357" t="str">
        <f t="shared" si="96"/>
        <v>082</v>
      </c>
      <c r="J357" t="str">
        <f t="shared" si="92"/>
        <v>N</v>
      </c>
    </row>
    <row r="358" spans="1:10">
      <c r="A358" t="str">
        <f>"0716AL08"</f>
        <v>0716AL08</v>
      </c>
      <c r="B358" t="str">
        <f t="shared" si="94"/>
        <v>ACT</v>
      </c>
      <c r="C358" t="str">
        <f>"24"</f>
        <v>24</v>
      </c>
      <c r="D358" t="str">
        <f>"A002278"</f>
        <v>A002278</v>
      </c>
      <c r="E358" t="str">
        <f t="shared" si="99"/>
        <v>N/A</v>
      </c>
      <c r="F358" t="str">
        <f t="shared" si="99"/>
        <v>N/A</v>
      </c>
      <c r="G358" t="str">
        <f>"DRY BOX # 12"</f>
        <v>DRY BOX # 12</v>
      </c>
      <c r="H358" t="str">
        <f>"alopez"</f>
        <v>alopez</v>
      </c>
      <c r="I358" t="str">
        <f t="shared" si="96"/>
        <v>082</v>
      </c>
      <c r="J358" t="str">
        <f t="shared" si="92"/>
        <v>N</v>
      </c>
    </row>
    <row r="359" spans="1:10">
      <c r="A359" t="str">
        <f>"LE-053-01514"</f>
        <v>LE-053-01514</v>
      </c>
      <c r="B359" t="str">
        <f t="shared" si="94"/>
        <v>ACT</v>
      </c>
      <c r="C359" t="str">
        <f>"14"</f>
        <v>14</v>
      </c>
      <c r="D359" t="str">
        <f>"TQP09553"</f>
        <v>TQP09553</v>
      </c>
      <c r="E359" t="str">
        <f t="shared" si="99"/>
        <v>N/A</v>
      </c>
      <c r="F359" t="str">
        <f t="shared" si="99"/>
        <v>N/A</v>
      </c>
      <c r="G359" t="str">
        <f>"DRY BOX"</f>
        <v>DRY BOX</v>
      </c>
      <c r="H359" t="str">
        <f>"vvazquez"</f>
        <v>vvazquez</v>
      </c>
      <c r="I359" t="str">
        <f t="shared" si="96"/>
        <v>082</v>
      </c>
      <c r="J359" t="str">
        <f t="shared" si="92"/>
        <v>N</v>
      </c>
    </row>
    <row r="360" spans="1:10">
      <c r="A360" t="str">
        <f>"LE-053-01515"</f>
        <v>LE-053-01515</v>
      </c>
      <c r="B360" t="str">
        <f t="shared" si="94"/>
        <v>ACT</v>
      </c>
      <c r="C360" t="str">
        <f>"14"</f>
        <v>14</v>
      </c>
      <c r="D360" t="str">
        <f>"TQP09553"</f>
        <v>TQP09553</v>
      </c>
      <c r="E360" t="str">
        <f t="shared" si="99"/>
        <v>N/A</v>
      </c>
      <c r="F360" t="str">
        <f t="shared" si="99"/>
        <v>N/A</v>
      </c>
      <c r="G360" t="str">
        <f>"DRY BOX"</f>
        <v>DRY BOX</v>
      </c>
      <c r="H360" t="str">
        <f>"vvazquez"</f>
        <v>vvazquez</v>
      </c>
      <c r="I360" t="str">
        <f t="shared" si="96"/>
        <v>082</v>
      </c>
      <c r="J360" t="str">
        <f t="shared" si="92"/>
        <v>N</v>
      </c>
    </row>
    <row r="361" spans="1:10">
      <c r="A361" t="str">
        <f>"LE-089-05983"</f>
        <v>LE-089-05983</v>
      </c>
      <c r="B361" t="str">
        <f>"INACT"</f>
        <v>INACT</v>
      </c>
      <c r="C361" t="str">
        <f>"12"</f>
        <v>12</v>
      </c>
      <c r="D361" t="str">
        <f t="shared" ref="D361:D366" si="100">"N/A"</f>
        <v>N/A</v>
      </c>
      <c r="E361" t="str">
        <f>"023108-022669"</f>
        <v>023108-022669</v>
      </c>
      <c r="F361" t="str">
        <f t="shared" ref="F361:F370" si="101">"LYNK"</f>
        <v>LYNK</v>
      </c>
      <c r="G361" t="str">
        <f t="shared" ref="G361:G373" si="102">"DYNOSCOPE"</f>
        <v>DYNOSCOPE</v>
      </c>
      <c r="H361" t="str">
        <f>"jnieto"</f>
        <v>jnieto</v>
      </c>
      <c r="I361" t="str">
        <f t="shared" ref="I361:I373" si="103">"073"</f>
        <v>073</v>
      </c>
      <c r="J361" t="str">
        <f t="shared" si="92"/>
        <v>N</v>
      </c>
    </row>
    <row r="362" spans="1:10">
      <c r="A362" t="str">
        <f>"LE-089-05982"</f>
        <v>LE-089-05982</v>
      </c>
      <c r="B362" t="str">
        <f>"ACT"</f>
        <v>ACT</v>
      </c>
      <c r="C362" t="str">
        <f>"12"</f>
        <v>12</v>
      </c>
      <c r="D362" t="str">
        <f t="shared" si="100"/>
        <v>N/A</v>
      </c>
      <c r="E362" t="str">
        <f>"023074-023077-04406"</f>
        <v>023074-023077-04406</v>
      </c>
      <c r="F362" t="str">
        <f t="shared" si="101"/>
        <v>LYNK</v>
      </c>
      <c r="G362" t="str">
        <f t="shared" si="102"/>
        <v>DYNOSCOPE</v>
      </c>
      <c r="H362" t="str">
        <f>"jnieto"</f>
        <v>jnieto</v>
      </c>
      <c r="I362" t="str">
        <f t="shared" si="103"/>
        <v>073</v>
      </c>
      <c r="J362" t="str">
        <f t="shared" si="92"/>
        <v>N</v>
      </c>
    </row>
    <row r="363" spans="1:10">
      <c r="A363" t="str">
        <f>"LE-089-05980"</f>
        <v>LE-089-05980</v>
      </c>
      <c r="B363" t="str">
        <f>"INACT"</f>
        <v>INACT</v>
      </c>
      <c r="C363" t="str">
        <f>"03"</f>
        <v>03</v>
      </c>
      <c r="D363" t="str">
        <f t="shared" si="100"/>
        <v>N/A</v>
      </c>
      <c r="E363" t="str">
        <f>"21789"</f>
        <v>21789</v>
      </c>
      <c r="F363" t="str">
        <f t="shared" si="101"/>
        <v>LYNK</v>
      </c>
      <c r="G363" t="str">
        <f t="shared" si="102"/>
        <v>DYNOSCOPE</v>
      </c>
      <c r="H363" t="str">
        <f>"jnieto"</f>
        <v>jnieto</v>
      </c>
      <c r="I363" t="str">
        <f t="shared" si="103"/>
        <v>073</v>
      </c>
      <c r="J363" t="str">
        <f t="shared" si="92"/>
        <v>N</v>
      </c>
    </row>
    <row r="364" spans="1:10">
      <c r="A364" t="str">
        <f>"0135SB01"</f>
        <v>0135SB01</v>
      </c>
      <c r="B364" t="str">
        <f>"ACT"</f>
        <v>ACT</v>
      </c>
      <c r="C364" t="str">
        <f>"23"</f>
        <v>23</v>
      </c>
      <c r="D364" t="str">
        <f t="shared" si="100"/>
        <v>N/A</v>
      </c>
      <c r="E364" t="str">
        <f>"022292"</f>
        <v>022292</v>
      </c>
      <c r="F364" t="str">
        <f t="shared" si="101"/>
        <v>LYNK</v>
      </c>
      <c r="G364" t="str">
        <f t="shared" si="102"/>
        <v>DYNOSCOPE</v>
      </c>
      <c r="H364" t="str">
        <f>"hcharles"</f>
        <v>hcharles</v>
      </c>
      <c r="I364" t="str">
        <f t="shared" si="103"/>
        <v>073</v>
      </c>
      <c r="J364" t="str">
        <f t="shared" si="92"/>
        <v>N</v>
      </c>
    </row>
    <row r="365" spans="1:10">
      <c r="A365" t="str">
        <f>"LE-089-05893"</f>
        <v>LE-089-05893</v>
      </c>
      <c r="B365" t="str">
        <f t="shared" ref="B365:B370" si="104">"INACT"</f>
        <v>INACT</v>
      </c>
      <c r="C365" t="str">
        <f>"21"</f>
        <v>21</v>
      </c>
      <c r="D365" t="str">
        <f t="shared" si="100"/>
        <v>N/A</v>
      </c>
      <c r="E365" t="str">
        <f>"21790"</f>
        <v>21790</v>
      </c>
      <c r="F365" t="str">
        <f t="shared" si="101"/>
        <v>LYNK</v>
      </c>
      <c r="G365" t="str">
        <f t="shared" si="102"/>
        <v>DYNOSCOPE</v>
      </c>
      <c r="H365" t="str">
        <f>"jnieto"</f>
        <v>jnieto</v>
      </c>
      <c r="I365" t="str">
        <f t="shared" si="103"/>
        <v>073</v>
      </c>
      <c r="J365" t="str">
        <f t="shared" si="92"/>
        <v>N</v>
      </c>
    </row>
    <row r="366" spans="1:10">
      <c r="A366" t="str">
        <f>"LE-089-05895"</f>
        <v>LE-089-05895</v>
      </c>
      <c r="B366" t="str">
        <f t="shared" si="104"/>
        <v>INACT</v>
      </c>
      <c r="C366" t="str">
        <f>"20"</f>
        <v>20</v>
      </c>
      <c r="D366" t="str">
        <f t="shared" si="100"/>
        <v>N/A</v>
      </c>
      <c r="E366" t="str">
        <f>"7122"</f>
        <v>7122</v>
      </c>
      <c r="F366" t="str">
        <f t="shared" si="101"/>
        <v>LYNK</v>
      </c>
      <c r="G366" t="str">
        <f t="shared" si="102"/>
        <v>DYNOSCOPE</v>
      </c>
      <c r="H366" t="str">
        <f>"jnieto"</f>
        <v>jnieto</v>
      </c>
      <c r="I366" t="str">
        <f t="shared" si="103"/>
        <v>073</v>
      </c>
      <c r="J366" t="str">
        <f t="shared" si="92"/>
        <v>N</v>
      </c>
    </row>
    <row r="367" spans="1:10">
      <c r="A367" t="str">
        <f>"0107SB12"</f>
        <v>0107SB12</v>
      </c>
      <c r="B367" t="str">
        <f t="shared" si="104"/>
        <v>INACT</v>
      </c>
      <c r="C367" t="str">
        <f>"10"</f>
        <v>10</v>
      </c>
      <c r="D367" t="str">
        <f>"TQP09156"</f>
        <v>TQP09156</v>
      </c>
      <c r="E367" t="str">
        <f>"7099"</f>
        <v>7099</v>
      </c>
      <c r="F367" t="str">
        <f t="shared" si="101"/>
        <v>LYNK</v>
      </c>
      <c r="G367" t="str">
        <f t="shared" si="102"/>
        <v>DYNOSCOPE</v>
      </c>
      <c r="H367" t="str">
        <f>"gramirez"</f>
        <v>gramirez</v>
      </c>
      <c r="I367" t="str">
        <f t="shared" si="103"/>
        <v>073</v>
      </c>
      <c r="J367" t="str">
        <f t="shared" si="92"/>
        <v>N</v>
      </c>
    </row>
    <row r="368" spans="1:10">
      <c r="A368" t="str">
        <f>"LE-089-05969"</f>
        <v>LE-089-05969</v>
      </c>
      <c r="B368" t="str">
        <f t="shared" si="104"/>
        <v>INACT</v>
      </c>
      <c r="C368" t="str">
        <f>"10"</f>
        <v>10</v>
      </c>
      <c r="D368" t="str">
        <f>"TQP09153"</f>
        <v>TQP09153</v>
      </c>
      <c r="E368" t="str">
        <f>"1869"</f>
        <v>1869</v>
      </c>
      <c r="F368" t="str">
        <f t="shared" si="101"/>
        <v>LYNK</v>
      </c>
      <c r="G368" t="str">
        <f t="shared" si="102"/>
        <v>DYNOSCOPE</v>
      </c>
      <c r="H368" t="str">
        <f>"gramirez"</f>
        <v>gramirez</v>
      </c>
      <c r="I368" t="str">
        <f t="shared" si="103"/>
        <v>073</v>
      </c>
      <c r="J368" t="str">
        <f t="shared" si="92"/>
        <v>N</v>
      </c>
    </row>
    <row r="369" spans="1:10">
      <c r="A369" t="str">
        <f>"LE-089-05971"</f>
        <v>LE-089-05971</v>
      </c>
      <c r="B369" t="str">
        <f t="shared" si="104"/>
        <v>INACT</v>
      </c>
      <c r="C369" t="str">
        <f>"10"</f>
        <v>10</v>
      </c>
      <c r="D369" t="str">
        <f>"TQP00390"</f>
        <v>TQP00390</v>
      </c>
      <c r="E369" t="str">
        <f>"7080"</f>
        <v>7080</v>
      </c>
      <c r="F369" t="str">
        <f t="shared" si="101"/>
        <v>LYNK</v>
      </c>
      <c r="G369" t="str">
        <f t="shared" si="102"/>
        <v>DYNOSCOPE</v>
      </c>
      <c r="H369" t="str">
        <f>"gramirez"</f>
        <v>gramirez</v>
      </c>
      <c r="I369" t="str">
        <f t="shared" si="103"/>
        <v>073</v>
      </c>
      <c r="J369" t="str">
        <f t="shared" si="92"/>
        <v>N</v>
      </c>
    </row>
    <row r="370" spans="1:10">
      <c r="A370" t="str">
        <f>"LE-089-05970"</f>
        <v>LE-089-05970</v>
      </c>
      <c r="B370" t="str">
        <f t="shared" si="104"/>
        <v>INACT</v>
      </c>
      <c r="C370" t="str">
        <f>"10"</f>
        <v>10</v>
      </c>
      <c r="D370" t="str">
        <f>"TQP 00389"</f>
        <v>TQP 00389</v>
      </c>
      <c r="E370" t="str">
        <f>"7119"</f>
        <v>7119</v>
      </c>
      <c r="F370" t="str">
        <f t="shared" si="101"/>
        <v>LYNK</v>
      </c>
      <c r="G370" t="str">
        <f t="shared" si="102"/>
        <v>DYNOSCOPE</v>
      </c>
      <c r="H370" t="str">
        <f>"gramirez"</f>
        <v>gramirez</v>
      </c>
      <c r="I370" t="str">
        <f t="shared" si="103"/>
        <v>073</v>
      </c>
      <c r="J370" t="str">
        <f t="shared" si="92"/>
        <v>N</v>
      </c>
    </row>
    <row r="371" spans="1:10">
      <c r="A371" t="str">
        <f>"LE-089-05972"</f>
        <v>LE-089-05972</v>
      </c>
      <c r="B371" t="str">
        <f t="shared" ref="B371:B386" si="105">"ACT"</f>
        <v>ACT</v>
      </c>
      <c r="C371" t="str">
        <f>"07"</f>
        <v>07</v>
      </c>
      <c r="D371" t="str">
        <f>"TQP00339"</f>
        <v>TQP00339</v>
      </c>
      <c r="E371" t="str">
        <f>"7087"</f>
        <v>7087</v>
      </c>
      <c r="F371" t="str">
        <f>"LS3"</f>
        <v>LS3</v>
      </c>
      <c r="G371" t="str">
        <f t="shared" si="102"/>
        <v>DYNOSCOPE</v>
      </c>
      <c r="H371" t="str">
        <f>"rramones"</f>
        <v>rramones</v>
      </c>
      <c r="I371" t="str">
        <f t="shared" si="103"/>
        <v>073</v>
      </c>
      <c r="J371" t="str">
        <f t="shared" si="92"/>
        <v>N</v>
      </c>
    </row>
    <row r="372" spans="1:10">
      <c r="A372" t="str">
        <f>"0416SB03"</f>
        <v>0416SB03</v>
      </c>
      <c r="B372" t="str">
        <f t="shared" si="105"/>
        <v>ACT</v>
      </c>
      <c r="C372" t="str">
        <f>"07"</f>
        <v>07</v>
      </c>
      <c r="D372" t="str">
        <f>"TQP00340"</f>
        <v>TQP00340</v>
      </c>
      <c r="E372" t="str">
        <f>"022293"</f>
        <v>022293</v>
      </c>
      <c r="F372" t="str">
        <f>"LYNK"</f>
        <v>LYNK</v>
      </c>
      <c r="G372" t="str">
        <f t="shared" si="102"/>
        <v>DYNOSCOPE</v>
      </c>
      <c r="H372" t="str">
        <f>"rramones"</f>
        <v>rramones</v>
      </c>
      <c r="I372" t="str">
        <f t="shared" si="103"/>
        <v>073</v>
      </c>
      <c r="J372" t="str">
        <f t="shared" si="92"/>
        <v>N</v>
      </c>
    </row>
    <row r="373" spans="1:10">
      <c r="A373" t="str">
        <f>"LE-010-23923"</f>
        <v>LE-010-23923</v>
      </c>
      <c r="B373" t="str">
        <f t="shared" si="105"/>
        <v>ACT</v>
      </c>
      <c r="C373" t="str">
        <f>"18"</f>
        <v>18</v>
      </c>
      <c r="D373" t="str">
        <f>"TQP01193"</f>
        <v>TQP01193</v>
      </c>
      <c r="E373" t="str">
        <f>"18158"</f>
        <v>18158</v>
      </c>
      <c r="F373" t="str">
        <f>"T54"</f>
        <v>T54</v>
      </c>
      <c r="G373" t="str">
        <f t="shared" si="102"/>
        <v>DYNOSCOPE</v>
      </c>
      <c r="H373" t="str">
        <f>"grobles"</f>
        <v>grobles</v>
      </c>
      <c r="I373" t="str">
        <f t="shared" si="103"/>
        <v>073</v>
      </c>
      <c r="J373" t="str">
        <f t="shared" si="92"/>
        <v>N</v>
      </c>
    </row>
    <row r="374" spans="1:10">
      <c r="A374" t="str">
        <f>"LE-010-28872"</f>
        <v>LE-010-28872</v>
      </c>
      <c r="B374" t="str">
        <f t="shared" si="105"/>
        <v>ACT</v>
      </c>
      <c r="C374" t="str">
        <f>"16"</f>
        <v>16</v>
      </c>
      <c r="D374" t="str">
        <f>"N/A"</f>
        <v>N/A</v>
      </c>
      <c r="E374" t="str">
        <f>"12330012-002"</f>
        <v>12330012-002</v>
      </c>
      <c r="F374" t="str">
        <f>"QED"</f>
        <v>QED</v>
      </c>
      <c r="G374" t="str">
        <f>"ELECTRICAL SUBSTATION"</f>
        <v>ELECTRICAL SUBSTATION</v>
      </c>
      <c r="H374" t="str">
        <f>"jmaldonado"</f>
        <v>jmaldonado</v>
      </c>
      <c r="I374" t="str">
        <f>"098"</f>
        <v>098</v>
      </c>
      <c r="J374" t="str">
        <f t="shared" si="92"/>
        <v>N</v>
      </c>
    </row>
    <row r="375" spans="1:10">
      <c r="A375" t="str">
        <f>"0319UR45"</f>
        <v>0319UR45</v>
      </c>
      <c r="B375" t="str">
        <f t="shared" si="105"/>
        <v>ACT</v>
      </c>
      <c r="C375" t="str">
        <f>"08"</f>
        <v>08</v>
      </c>
      <c r="D375" t="str">
        <f>"TQP 00317"</f>
        <v>TQP 00317</v>
      </c>
      <c r="E375" t="str">
        <f>"600396"</f>
        <v>600396</v>
      </c>
      <c r="F375" t="str">
        <f>"VWR 1670"</f>
        <v>VWR 1670</v>
      </c>
      <c r="G375" t="str">
        <f>"EPOXY CURE OVEN"</f>
        <v>EPOXY CURE OVEN</v>
      </c>
      <c r="H375" t="str">
        <f>"garaiza"</f>
        <v>garaiza</v>
      </c>
      <c r="I375" t="str">
        <f>"099"</f>
        <v>099</v>
      </c>
      <c r="J375" t="str">
        <f t="shared" si="92"/>
        <v>N</v>
      </c>
    </row>
    <row r="376" spans="1:10">
      <c r="A376" t="str">
        <f>"LE-061-01367"</f>
        <v>LE-061-01367</v>
      </c>
      <c r="B376" t="str">
        <f t="shared" si="105"/>
        <v>ACT</v>
      </c>
      <c r="C376" t="str">
        <f>"16"</f>
        <v>16</v>
      </c>
      <c r="D376" t="str">
        <f>"N/A"</f>
        <v>N/A</v>
      </c>
      <c r="E376" t="str">
        <f>"1375240"</f>
        <v>1375240</v>
      </c>
      <c r="F376" t="str">
        <f>"1002014"</f>
        <v>1002014</v>
      </c>
      <c r="G376" t="str">
        <f>"FILTER ( WATER SOFTENER )            "</f>
        <v xml:space="preserve">FILTER ( WATER SOFTENER )            </v>
      </c>
      <c r="H376" t="str">
        <f>"jmaldonado"</f>
        <v>jmaldonado</v>
      </c>
      <c r="I376" t="str">
        <f>"100"</f>
        <v>100</v>
      </c>
      <c r="J376" t="str">
        <f t="shared" si="92"/>
        <v>N</v>
      </c>
    </row>
    <row r="377" spans="1:10">
      <c r="A377" t="str">
        <f>"LE-052-00156"</f>
        <v>LE-052-00156</v>
      </c>
      <c r="B377" t="str">
        <f t="shared" si="105"/>
        <v>ACT</v>
      </c>
      <c r="C377" t="str">
        <f>"06"</f>
        <v>06</v>
      </c>
      <c r="D377" t="str">
        <f>"N/A"</f>
        <v>N/A</v>
      </c>
      <c r="E377" t="str">
        <f>"574161T"</f>
        <v>574161T</v>
      </c>
      <c r="F377" t="str">
        <f>"1000XL"</f>
        <v>1000XL</v>
      </c>
      <c r="G377" t="str">
        <f>" DISPENSER"</f>
        <v xml:space="preserve"> DISPENSER</v>
      </c>
      <c r="H377" t="str">
        <f>"rramones"</f>
        <v>rramones</v>
      </c>
      <c r="I377" t="str">
        <f>"024"</f>
        <v>024</v>
      </c>
      <c r="J377" t="str">
        <f t="shared" si="92"/>
        <v>N</v>
      </c>
    </row>
    <row r="378" spans="1:10">
      <c r="A378" t="str">
        <f>"0544LA01"</f>
        <v>0544LA01</v>
      </c>
      <c r="B378" t="str">
        <f t="shared" si="105"/>
        <v>ACT</v>
      </c>
      <c r="C378" t="str">
        <f>"06"</f>
        <v>06</v>
      </c>
      <c r="D378" t="str">
        <f>"N/A"</f>
        <v>N/A</v>
      </c>
      <c r="E378" t="str">
        <f>"673591T"</f>
        <v>673591T</v>
      </c>
      <c r="F378" t="str">
        <f>"1000XL"</f>
        <v>1000XL</v>
      </c>
      <c r="G378" t="str">
        <f>" DISPENSER"</f>
        <v xml:space="preserve"> DISPENSER</v>
      </c>
      <c r="H378" t="str">
        <f>"rramones"</f>
        <v>rramones</v>
      </c>
      <c r="I378" t="str">
        <f>"024"</f>
        <v>024</v>
      </c>
      <c r="J378" t="str">
        <f t="shared" si="92"/>
        <v>N</v>
      </c>
    </row>
    <row r="379" spans="1:10">
      <c r="A379" t="str">
        <f>"0544LA00"</f>
        <v>0544LA00</v>
      </c>
      <c r="B379" t="str">
        <f t="shared" si="105"/>
        <v>ACT</v>
      </c>
      <c r="C379" t="str">
        <f>"06"</f>
        <v>06</v>
      </c>
      <c r="D379" t="str">
        <f>"N/A"</f>
        <v>N/A</v>
      </c>
      <c r="E379" t="str">
        <f>"663507T"</f>
        <v>663507T</v>
      </c>
      <c r="F379" t="str">
        <f>"1000XL"</f>
        <v>1000XL</v>
      </c>
      <c r="G379" t="str">
        <f>" DISPENSER"</f>
        <v xml:space="preserve"> DISPENSER</v>
      </c>
      <c r="H379" t="str">
        <f>"rramones"</f>
        <v>rramones</v>
      </c>
      <c r="I379" t="str">
        <f>"024"</f>
        <v>024</v>
      </c>
      <c r="J379" t="str">
        <f t="shared" si="92"/>
        <v>N</v>
      </c>
    </row>
    <row r="380" spans="1:10">
      <c r="A380" t="str">
        <f>"0323NT02"</f>
        <v>0323NT02</v>
      </c>
      <c r="B380" t="str">
        <f t="shared" si="105"/>
        <v>ACT</v>
      </c>
      <c r="C380" t="str">
        <f>"11"</f>
        <v>11</v>
      </c>
      <c r="D380" t="str">
        <f>"N/A"</f>
        <v>N/A</v>
      </c>
      <c r="E380" t="str">
        <f>"696392T"</f>
        <v>696392T</v>
      </c>
      <c r="F380" t="str">
        <f>"1500XL"</f>
        <v>1500XL</v>
      </c>
      <c r="G380" t="str">
        <f>" DISPENSER"</f>
        <v xml:space="preserve"> DISPENSER</v>
      </c>
      <c r="H380" t="str">
        <f>"jnieto"</f>
        <v>jnieto</v>
      </c>
      <c r="I380" t="str">
        <f>"024"</f>
        <v>024</v>
      </c>
      <c r="J380" t="str">
        <f t="shared" si="92"/>
        <v>N</v>
      </c>
    </row>
    <row r="381" spans="1:10">
      <c r="A381" t="str">
        <f>"LE-089-05977"</f>
        <v>LE-089-05977</v>
      </c>
      <c r="B381" t="str">
        <f t="shared" si="105"/>
        <v>ACT</v>
      </c>
      <c r="C381" t="str">
        <f>"18"</f>
        <v>18</v>
      </c>
      <c r="D381" t="str">
        <f>"TQP01197"</f>
        <v>TQP01197</v>
      </c>
      <c r="E381" t="str">
        <f>"250839"</f>
        <v>250839</v>
      </c>
      <c r="F381" t="str">
        <f t="shared" ref="F381:F386" si="106">"ME2503"</f>
        <v>ME2503</v>
      </c>
      <c r="G381" t="str">
        <f t="shared" ref="G381:G386" si="107">"FIBROSCOPE"</f>
        <v>FIBROSCOPE</v>
      </c>
      <c r="H381" t="str">
        <f>"grobles"</f>
        <v>grobles</v>
      </c>
      <c r="I381" t="str">
        <f t="shared" ref="I381:I386" si="108">"055"</f>
        <v>055</v>
      </c>
      <c r="J381" t="str">
        <f t="shared" si="92"/>
        <v>N</v>
      </c>
    </row>
    <row r="382" spans="1:10">
      <c r="A382" t="str">
        <f>"LE-089-05978"</f>
        <v>LE-089-05978</v>
      </c>
      <c r="B382" t="str">
        <f t="shared" si="105"/>
        <v>ACT</v>
      </c>
      <c r="C382" t="str">
        <f>"12"</f>
        <v>12</v>
      </c>
      <c r="D382" t="str">
        <f>"TQP09219"</f>
        <v>TQP09219</v>
      </c>
      <c r="E382" t="str">
        <f>"2500943"</f>
        <v>2500943</v>
      </c>
      <c r="F382" t="str">
        <f t="shared" si="106"/>
        <v>ME2503</v>
      </c>
      <c r="G382" t="str">
        <f t="shared" si="107"/>
        <v>FIBROSCOPE</v>
      </c>
      <c r="H382" t="str">
        <f>"jnieto"</f>
        <v>jnieto</v>
      </c>
      <c r="I382" t="str">
        <f t="shared" si="108"/>
        <v>055</v>
      </c>
      <c r="J382" t="str">
        <f t="shared" si="92"/>
        <v>N</v>
      </c>
    </row>
    <row r="383" spans="1:10">
      <c r="A383" t="str">
        <f>"LE-089-05987"</f>
        <v>LE-089-05987</v>
      </c>
      <c r="B383" t="str">
        <f t="shared" si="105"/>
        <v>ACT</v>
      </c>
      <c r="C383" t="str">
        <f>"12"</f>
        <v>12</v>
      </c>
      <c r="D383" t="str">
        <f>"TQP09201"</f>
        <v>TQP09201</v>
      </c>
      <c r="E383" t="str">
        <f>"2500944"</f>
        <v>2500944</v>
      </c>
      <c r="F383" t="str">
        <f t="shared" si="106"/>
        <v>ME2503</v>
      </c>
      <c r="G383" t="str">
        <f t="shared" si="107"/>
        <v>FIBROSCOPE</v>
      </c>
      <c r="H383" t="str">
        <f>"jnieto"</f>
        <v>jnieto</v>
      </c>
      <c r="I383" t="str">
        <f t="shared" si="108"/>
        <v>055</v>
      </c>
      <c r="J383" t="str">
        <f t="shared" si="92"/>
        <v>N</v>
      </c>
    </row>
    <row r="384" spans="1:10">
      <c r="A384" t="str">
        <f>"LE-010-25119"</f>
        <v>LE-010-25119</v>
      </c>
      <c r="B384" t="str">
        <f t="shared" si="105"/>
        <v>ACT</v>
      </c>
      <c r="C384" t="str">
        <f>"27"</f>
        <v>27</v>
      </c>
      <c r="D384" t="str">
        <f>"TQP09202"</f>
        <v>TQP09202</v>
      </c>
      <c r="E384" t="str">
        <f>"2500840"</f>
        <v>2500840</v>
      </c>
      <c r="F384" t="str">
        <f t="shared" si="106"/>
        <v>ME2503</v>
      </c>
      <c r="G384" t="str">
        <f t="shared" si="107"/>
        <v>FIBROSCOPE</v>
      </c>
      <c r="H384" t="str">
        <f>"gmartinez"</f>
        <v>gmartinez</v>
      </c>
      <c r="I384" t="str">
        <f t="shared" si="108"/>
        <v>055</v>
      </c>
      <c r="J384" t="str">
        <f t="shared" si="92"/>
        <v>N</v>
      </c>
    </row>
    <row r="385" spans="1:10">
      <c r="A385" t="str">
        <f>"LE-089-05976"</f>
        <v>LE-089-05976</v>
      </c>
      <c r="B385" t="str">
        <f t="shared" si="105"/>
        <v>ACT</v>
      </c>
      <c r="C385" t="str">
        <f>"27"</f>
        <v>27</v>
      </c>
      <c r="D385" t="str">
        <f>"TQP00996"</f>
        <v>TQP00996</v>
      </c>
      <c r="E385" t="str">
        <f>"2500947"</f>
        <v>2500947</v>
      </c>
      <c r="F385" t="str">
        <f t="shared" si="106"/>
        <v>ME2503</v>
      </c>
      <c r="G385" t="str">
        <f t="shared" si="107"/>
        <v>FIBROSCOPE</v>
      </c>
      <c r="H385" t="str">
        <f>"gmartinez"</f>
        <v>gmartinez</v>
      </c>
      <c r="I385" t="str">
        <f t="shared" si="108"/>
        <v>055</v>
      </c>
      <c r="J385" t="str">
        <f t="shared" si="92"/>
        <v>N</v>
      </c>
    </row>
    <row r="386" spans="1:10">
      <c r="A386" t="str">
        <f>"LE-089-05936"</f>
        <v>LE-089-05936</v>
      </c>
      <c r="B386" t="str">
        <f t="shared" si="105"/>
        <v>ACT</v>
      </c>
      <c r="C386" t="str">
        <f>"11"</f>
        <v>11</v>
      </c>
      <c r="D386" t="str">
        <f>"N/A"</f>
        <v>N/A</v>
      </c>
      <c r="E386" t="str">
        <f>"N/A"</f>
        <v>N/A</v>
      </c>
      <c r="F386" t="str">
        <f t="shared" si="106"/>
        <v>ME2503</v>
      </c>
      <c r="G386" t="str">
        <f t="shared" si="107"/>
        <v>FIBROSCOPE</v>
      </c>
      <c r="H386" t="str">
        <f>"jnieto"</f>
        <v>jnieto</v>
      </c>
      <c r="I386" t="str">
        <f t="shared" si="108"/>
        <v>055</v>
      </c>
      <c r="J386" t="str">
        <f t="shared" si="92"/>
        <v>N</v>
      </c>
    </row>
    <row r="387" spans="1:10">
      <c r="A387" t="str">
        <f>"LE-058-00882"</f>
        <v>LE-058-00882</v>
      </c>
      <c r="B387" t="str">
        <f>"INACT"</f>
        <v>INACT</v>
      </c>
      <c r="C387" t="str">
        <f>"07"</f>
        <v>07</v>
      </c>
      <c r="D387" t="str">
        <f>"N/A"</f>
        <v>N/A</v>
      </c>
      <c r="E387" t="str">
        <f>"N/A"</f>
        <v>N/A</v>
      </c>
      <c r="F387" t="str">
        <f>"N/A"</f>
        <v>N/A</v>
      </c>
      <c r="G387" t="str">
        <f>"FIXTURE FOR GPO INSTALL"</f>
        <v>FIXTURE FOR GPO INSTALL</v>
      </c>
      <c r="H387" t="str">
        <f>"rramones"</f>
        <v>rramones</v>
      </c>
      <c r="I387" t="str">
        <f>"081"</f>
        <v>081</v>
      </c>
      <c r="J387" t="str">
        <f t="shared" si="92"/>
        <v>N</v>
      </c>
    </row>
    <row r="388" spans="1:10">
      <c r="A388" t="str">
        <f>"LE-011-02031"</f>
        <v>LE-011-02031</v>
      </c>
      <c r="B388" t="str">
        <f>"INACT"</f>
        <v>INACT</v>
      </c>
      <c r="C388" t="str">
        <f>"01"</f>
        <v>01</v>
      </c>
      <c r="D388" t="str">
        <f>"TQP01883"</f>
        <v>TQP01883</v>
      </c>
      <c r="E388" t="str">
        <f>"12/251"</f>
        <v>12/251</v>
      </c>
      <c r="F388" t="str">
        <f>"CH-2545SELZACH"</f>
        <v>CH-2545SELZACH</v>
      </c>
      <c r="G388" t="str">
        <f>"MICRON"</f>
        <v>MICRON</v>
      </c>
      <c r="H388" t="str">
        <f>"garaiza"</f>
        <v>garaiza</v>
      </c>
      <c r="I388" t="str">
        <f>"027"</f>
        <v>027</v>
      </c>
      <c r="J388" t="str">
        <f t="shared" si="92"/>
        <v>N</v>
      </c>
    </row>
    <row r="389" spans="1:10">
      <c r="A389" t="str">
        <f>"LE-010-28654"</f>
        <v>LE-010-28654</v>
      </c>
      <c r="B389" t="str">
        <f>"ACT"</f>
        <v>ACT</v>
      </c>
      <c r="C389" t="str">
        <f>"02"</f>
        <v>02</v>
      </c>
      <c r="D389" t="str">
        <f>"TQP01362"</f>
        <v>TQP01362</v>
      </c>
      <c r="E389" t="str">
        <f>"IA00116-6"</f>
        <v>IA00116-6</v>
      </c>
      <c r="F389" t="str">
        <f>"VFS-830"</f>
        <v>VFS-830</v>
      </c>
      <c r="G389" t="str">
        <f>"FLOW HOOD-B"</f>
        <v>FLOW HOOD-B</v>
      </c>
      <c r="H389" t="str">
        <f>"jcastaneda"</f>
        <v>jcastaneda</v>
      </c>
      <c r="I389" t="str">
        <f>"039"</f>
        <v>039</v>
      </c>
      <c r="J389" t="str">
        <f t="shared" si="92"/>
        <v>N</v>
      </c>
    </row>
    <row r="390" spans="1:10">
      <c r="A390" t="str">
        <f>"LE-010-24064"</f>
        <v>LE-010-24064</v>
      </c>
      <c r="B390" t="str">
        <f>"ACT"</f>
        <v>ACT</v>
      </c>
      <c r="C390" t="str">
        <f>"04"</f>
        <v>04</v>
      </c>
      <c r="D390" t="str">
        <f t="shared" ref="D390:D431" si="109">"N/A"</f>
        <v>N/A</v>
      </c>
      <c r="E390" t="str">
        <f>"981240033671585"</f>
        <v>981240033671585</v>
      </c>
      <c r="F390" t="str">
        <f t="shared" ref="F390:F407" si="110">"AEROSTAT"</f>
        <v>AEROSTAT</v>
      </c>
      <c r="G390" t="str">
        <f t="shared" ref="G390:G429" si="111">"ESD IONIZER"</f>
        <v>ESD IONIZER</v>
      </c>
      <c r="H390" t="str">
        <f t="shared" ref="H390:H397" si="112">"avazquez"</f>
        <v>avazquez</v>
      </c>
      <c r="I390" t="str">
        <f t="shared" ref="I390:I407" si="113">"119"</f>
        <v>119</v>
      </c>
      <c r="J390" t="str">
        <f t="shared" si="92"/>
        <v>N</v>
      </c>
    </row>
    <row r="391" spans="1:10">
      <c r="A391" t="str">
        <f>"LE-010-23929"</f>
        <v>LE-010-23929</v>
      </c>
      <c r="B391" t="str">
        <f>"INACT"</f>
        <v>INACT</v>
      </c>
      <c r="C391" t="str">
        <f>"11"</f>
        <v>11</v>
      </c>
      <c r="D391" t="str">
        <f t="shared" si="109"/>
        <v>N/A</v>
      </c>
      <c r="E391" t="str">
        <f>"Y396286"</f>
        <v>Y396286</v>
      </c>
      <c r="F391" t="str">
        <f t="shared" si="110"/>
        <v>AEROSTAT</v>
      </c>
      <c r="G391" t="str">
        <f t="shared" si="111"/>
        <v>ESD IONIZER</v>
      </c>
      <c r="H391" t="str">
        <f t="shared" si="112"/>
        <v>avazquez</v>
      </c>
      <c r="I391" t="str">
        <f t="shared" si="113"/>
        <v>119</v>
      </c>
      <c r="J391" t="str">
        <f t="shared" ref="J391:J454" si="114">"N"</f>
        <v>N</v>
      </c>
    </row>
    <row r="392" spans="1:10">
      <c r="A392" t="str">
        <f>"LE-010-24159"</f>
        <v>LE-010-24159</v>
      </c>
      <c r="B392" t="str">
        <f>"ACT"</f>
        <v>ACT</v>
      </c>
      <c r="C392" t="str">
        <f>"27"</f>
        <v>27</v>
      </c>
      <c r="D392" t="str">
        <f t="shared" si="109"/>
        <v>N/A</v>
      </c>
      <c r="E392" t="str">
        <f>"991440033672599"</f>
        <v>991440033672599</v>
      </c>
      <c r="F392" t="str">
        <f t="shared" si="110"/>
        <v>AEROSTAT</v>
      </c>
      <c r="G392" t="str">
        <f t="shared" si="111"/>
        <v>ESD IONIZER</v>
      </c>
      <c r="H392" t="str">
        <f t="shared" si="112"/>
        <v>avazquez</v>
      </c>
      <c r="I392" t="str">
        <f t="shared" si="113"/>
        <v>119</v>
      </c>
      <c r="J392" t="str">
        <f t="shared" si="114"/>
        <v>N</v>
      </c>
    </row>
    <row r="393" spans="1:10">
      <c r="A393" t="str">
        <f>"LE-010-23957"</f>
        <v>LE-010-23957</v>
      </c>
      <c r="B393" t="str">
        <f>"ACT"</f>
        <v>ACT</v>
      </c>
      <c r="C393" t="str">
        <f>"11"</f>
        <v>11</v>
      </c>
      <c r="D393" t="str">
        <f t="shared" si="109"/>
        <v>N/A</v>
      </c>
      <c r="E393" t="str">
        <f>"981240033671584"</f>
        <v>981240033671584</v>
      </c>
      <c r="F393" t="str">
        <f t="shared" si="110"/>
        <v>AEROSTAT</v>
      </c>
      <c r="G393" t="str">
        <f t="shared" si="111"/>
        <v>ESD IONIZER</v>
      </c>
      <c r="H393" t="str">
        <f t="shared" si="112"/>
        <v>avazquez</v>
      </c>
      <c r="I393" t="str">
        <f t="shared" si="113"/>
        <v>119</v>
      </c>
      <c r="J393" t="str">
        <f t="shared" si="114"/>
        <v>N</v>
      </c>
    </row>
    <row r="394" spans="1:10">
      <c r="A394" t="str">
        <f>"LE-010-23905"</f>
        <v>LE-010-23905</v>
      </c>
      <c r="B394" t="str">
        <f>"ACT"</f>
        <v>ACT</v>
      </c>
      <c r="C394" t="str">
        <f>"11"</f>
        <v>11</v>
      </c>
      <c r="D394" t="str">
        <f t="shared" si="109"/>
        <v>N/A</v>
      </c>
      <c r="E394" t="str">
        <f>"Y396287"</f>
        <v>Y396287</v>
      </c>
      <c r="F394" t="str">
        <f t="shared" si="110"/>
        <v>AEROSTAT</v>
      </c>
      <c r="G394" t="str">
        <f t="shared" si="111"/>
        <v>ESD IONIZER</v>
      </c>
      <c r="H394" t="str">
        <f t="shared" si="112"/>
        <v>avazquez</v>
      </c>
      <c r="I394" t="str">
        <f t="shared" si="113"/>
        <v>119</v>
      </c>
      <c r="J394" t="str">
        <f t="shared" si="114"/>
        <v>N</v>
      </c>
    </row>
    <row r="395" spans="1:10">
      <c r="A395" t="str">
        <f>"LE-010-26913"</f>
        <v>LE-010-26913</v>
      </c>
      <c r="B395" t="str">
        <f>"ACT"</f>
        <v>ACT</v>
      </c>
      <c r="C395" t="str">
        <f>"27"</f>
        <v>27</v>
      </c>
      <c r="D395" t="str">
        <f t="shared" si="109"/>
        <v>N/A</v>
      </c>
      <c r="E395" t="str">
        <f>"921240033671582"</f>
        <v>921240033671582</v>
      </c>
      <c r="F395" t="str">
        <f t="shared" si="110"/>
        <v>AEROSTAT</v>
      </c>
      <c r="G395" t="str">
        <f t="shared" si="111"/>
        <v>ESD IONIZER</v>
      </c>
      <c r="H395" t="str">
        <f t="shared" si="112"/>
        <v>avazquez</v>
      </c>
      <c r="I395" t="str">
        <f t="shared" si="113"/>
        <v>119</v>
      </c>
      <c r="J395" t="str">
        <f t="shared" si="114"/>
        <v>N</v>
      </c>
    </row>
    <row r="396" spans="1:10">
      <c r="A396" t="str">
        <f>"LE-010-28612"</f>
        <v>LE-010-28612</v>
      </c>
      <c r="B396" t="str">
        <f>"INACT"</f>
        <v>INACT</v>
      </c>
      <c r="C396" t="str">
        <f>"11"</f>
        <v>11</v>
      </c>
      <c r="D396" t="str">
        <f t="shared" si="109"/>
        <v>N/A</v>
      </c>
      <c r="E396" t="str">
        <f>"U203108"</f>
        <v>U203108</v>
      </c>
      <c r="F396" t="str">
        <f t="shared" si="110"/>
        <v>AEROSTAT</v>
      </c>
      <c r="G396" t="str">
        <f t="shared" si="111"/>
        <v>ESD IONIZER</v>
      </c>
      <c r="H396" t="str">
        <f t="shared" si="112"/>
        <v>avazquez</v>
      </c>
      <c r="I396" t="str">
        <f t="shared" si="113"/>
        <v>119</v>
      </c>
      <c r="J396" t="str">
        <f t="shared" si="114"/>
        <v>N</v>
      </c>
    </row>
    <row r="397" spans="1:10">
      <c r="A397" t="str">
        <f>"LE-010-26869"</f>
        <v>LE-010-26869</v>
      </c>
      <c r="B397" t="str">
        <f>"ACT"</f>
        <v>ACT</v>
      </c>
      <c r="C397" t="str">
        <f>"11"</f>
        <v>11</v>
      </c>
      <c r="D397" t="str">
        <f t="shared" si="109"/>
        <v>N/A</v>
      </c>
      <c r="E397" t="str">
        <f>"991440033672598"</f>
        <v>991440033672598</v>
      </c>
      <c r="F397" t="str">
        <f t="shared" si="110"/>
        <v>AEROSTAT</v>
      </c>
      <c r="G397" t="str">
        <f t="shared" si="111"/>
        <v>ESD IONIZER</v>
      </c>
      <c r="H397" t="str">
        <f t="shared" si="112"/>
        <v>avazquez</v>
      </c>
      <c r="I397" t="str">
        <f t="shared" si="113"/>
        <v>119</v>
      </c>
      <c r="J397" t="str">
        <f t="shared" si="114"/>
        <v>N</v>
      </c>
    </row>
    <row r="398" spans="1:10">
      <c r="A398" t="str">
        <f>"0322MD04"</f>
        <v>0322MD04</v>
      </c>
      <c r="B398" t="str">
        <f>"ACT"</f>
        <v>ACT</v>
      </c>
      <c r="C398" t="str">
        <f>"09"</f>
        <v>09</v>
      </c>
      <c r="D398" t="str">
        <f t="shared" si="109"/>
        <v>N/A</v>
      </c>
      <c r="E398" t="str">
        <f>"992240033673032"</f>
        <v>992240033673032</v>
      </c>
      <c r="F398" t="str">
        <f t="shared" si="110"/>
        <v>AEROSTAT</v>
      </c>
      <c r="G398" t="str">
        <f t="shared" si="111"/>
        <v>ESD IONIZER</v>
      </c>
      <c r="H398" t="str">
        <f>"mvazquez"</f>
        <v>mvazquez</v>
      </c>
      <c r="I398" t="str">
        <f t="shared" si="113"/>
        <v>119</v>
      </c>
      <c r="J398" t="str">
        <f t="shared" si="114"/>
        <v>N</v>
      </c>
    </row>
    <row r="399" spans="1:10">
      <c r="A399" t="str">
        <f>"LE-010-23959"</f>
        <v>LE-010-23959</v>
      </c>
      <c r="B399" t="str">
        <f>"ACT"</f>
        <v>ACT</v>
      </c>
      <c r="C399" t="str">
        <f>"27"</f>
        <v>27</v>
      </c>
      <c r="D399" t="str">
        <f t="shared" si="109"/>
        <v>N/A</v>
      </c>
      <c r="E399" t="str">
        <f>"Y396291"</f>
        <v>Y396291</v>
      </c>
      <c r="F399" t="str">
        <f t="shared" si="110"/>
        <v>AEROSTAT</v>
      </c>
      <c r="G399" t="str">
        <f t="shared" si="111"/>
        <v>ESD IONIZER</v>
      </c>
      <c r="H399" t="str">
        <f>"avazquez"</f>
        <v>avazquez</v>
      </c>
      <c r="I399" t="str">
        <f t="shared" si="113"/>
        <v>119</v>
      </c>
      <c r="J399" t="str">
        <f t="shared" si="114"/>
        <v>N</v>
      </c>
    </row>
    <row r="400" spans="1:10">
      <c r="A400" t="str">
        <f>"LE-010-24062"</f>
        <v>LE-010-24062</v>
      </c>
      <c r="B400" t="str">
        <f>"INACT"</f>
        <v>INACT</v>
      </c>
      <c r="C400" t="str">
        <f>"01"</f>
        <v>01</v>
      </c>
      <c r="D400" t="str">
        <f t="shared" si="109"/>
        <v>N/A</v>
      </c>
      <c r="E400" t="str">
        <f>"Y396288"</f>
        <v>Y396288</v>
      </c>
      <c r="F400" t="str">
        <f t="shared" si="110"/>
        <v>AEROSTAT</v>
      </c>
      <c r="G400" t="str">
        <f t="shared" si="111"/>
        <v>ESD IONIZER</v>
      </c>
      <c r="H400" t="str">
        <f>"mvazquez"</f>
        <v>mvazquez</v>
      </c>
      <c r="I400" t="str">
        <f t="shared" si="113"/>
        <v>119</v>
      </c>
      <c r="J400" t="str">
        <f t="shared" si="114"/>
        <v>N</v>
      </c>
    </row>
    <row r="401" spans="1:10">
      <c r="A401" t="str">
        <f>"LE-010-26043"</f>
        <v>LE-010-26043</v>
      </c>
      <c r="B401" t="str">
        <f t="shared" ref="B401:B406" si="115">"ACT"</f>
        <v>ACT</v>
      </c>
      <c r="C401" t="str">
        <f>"08"</f>
        <v>08</v>
      </c>
      <c r="D401" t="str">
        <f t="shared" si="109"/>
        <v>N/A</v>
      </c>
      <c r="E401" t="str">
        <f>"33400336759906"</f>
        <v>33400336759906</v>
      </c>
      <c r="F401" t="str">
        <f t="shared" si="110"/>
        <v>AEROSTAT</v>
      </c>
      <c r="G401" t="str">
        <f t="shared" si="111"/>
        <v>ESD IONIZER</v>
      </c>
      <c r="H401" t="str">
        <f>"avazquez"</f>
        <v>avazquez</v>
      </c>
      <c r="I401" t="str">
        <f t="shared" si="113"/>
        <v>119</v>
      </c>
      <c r="J401" t="str">
        <f t="shared" si="114"/>
        <v>N</v>
      </c>
    </row>
    <row r="402" spans="1:10">
      <c r="A402" t="str">
        <f>"0322UR01"</f>
        <v>0322UR01</v>
      </c>
      <c r="B402" t="str">
        <f t="shared" si="115"/>
        <v>ACT</v>
      </c>
      <c r="C402" t="str">
        <f>"08"</f>
        <v>08</v>
      </c>
      <c r="D402" t="str">
        <f t="shared" si="109"/>
        <v>N/A</v>
      </c>
      <c r="E402" t="str">
        <f>"018605"</f>
        <v>018605</v>
      </c>
      <c r="F402" t="str">
        <f t="shared" si="110"/>
        <v>AEROSTAT</v>
      </c>
      <c r="G402" t="str">
        <f t="shared" si="111"/>
        <v>ESD IONIZER</v>
      </c>
      <c r="H402" t="str">
        <f>"avazquez"</f>
        <v>avazquez</v>
      </c>
      <c r="I402" t="str">
        <f t="shared" si="113"/>
        <v>119</v>
      </c>
      <c r="J402" t="str">
        <f t="shared" si="114"/>
        <v>N</v>
      </c>
    </row>
    <row r="403" spans="1:10">
      <c r="A403" t="str">
        <f>"0322UR00"</f>
        <v>0322UR00</v>
      </c>
      <c r="B403" t="str">
        <f t="shared" si="115"/>
        <v>ACT</v>
      </c>
      <c r="C403" t="str">
        <f>"06"</f>
        <v>06</v>
      </c>
      <c r="D403" t="str">
        <f t="shared" si="109"/>
        <v>N/A</v>
      </c>
      <c r="E403" t="str">
        <f>"018596"</f>
        <v>018596</v>
      </c>
      <c r="F403" t="str">
        <f t="shared" si="110"/>
        <v>AEROSTAT</v>
      </c>
      <c r="G403" t="str">
        <f t="shared" si="111"/>
        <v>ESD IONIZER</v>
      </c>
      <c r="H403" t="str">
        <f>"ecerda"</f>
        <v>ecerda</v>
      </c>
      <c r="I403" t="str">
        <f t="shared" si="113"/>
        <v>119</v>
      </c>
      <c r="J403" t="str">
        <f t="shared" si="114"/>
        <v>N</v>
      </c>
    </row>
    <row r="404" spans="1:10">
      <c r="A404" t="str">
        <f>"0322UR02"</f>
        <v>0322UR02</v>
      </c>
      <c r="B404" t="str">
        <f t="shared" si="115"/>
        <v>ACT</v>
      </c>
      <c r="C404" t="str">
        <f>"08"</f>
        <v>08</v>
      </c>
      <c r="D404" t="str">
        <f t="shared" si="109"/>
        <v>N/A</v>
      </c>
      <c r="E404" t="str">
        <f>"4926"</f>
        <v>4926</v>
      </c>
      <c r="F404" t="str">
        <f t="shared" si="110"/>
        <v>AEROSTAT</v>
      </c>
      <c r="G404" t="str">
        <f t="shared" si="111"/>
        <v>ESD IONIZER</v>
      </c>
      <c r="H404" t="str">
        <f>"avazquez"</f>
        <v>avazquez</v>
      </c>
      <c r="I404" t="str">
        <f t="shared" si="113"/>
        <v>119</v>
      </c>
      <c r="J404" t="str">
        <f t="shared" si="114"/>
        <v>N</v>
      </c>
    </row>
    <row r="405" spans="1:10">
      <c r="A405" t="str">
        <f>"0322UR03"</f>
        <v>0322UR03</v>
      </c>
      <c r="B405" t="str">
        <f t="shared" si="115"/>
        <v>ACT</v>
      </c>
      <c r="C405" t="str">
        <f>"08"</f>
        <v>08</v>
      </c>
      <c r="D405" t="str">
        <f t="shared" si="109"/>
        <v>N/A</v>
      </c>
      <c r="E405" t="str">
        <f>"4076"</f>
        <v>4076</v>
      </c>
      <c r="F405" t="str">
        <f t="shared" si="110"/>
        <v>AEROSTAT</v>
      </c>
      <c r="G405" t="str">
        <f t="shared" si="111"/>
        <v>ESD IONIZER</v>
      </c>
      <c r="H405" t="str">
        <f>"avazquez"</f>
        <v>avazquez</v>
      </c>
      <c r="I405" t="str">
        <f t="shared" si="113"/>
        <v>119</v>
      </c>
      <c r="J405" t="str">
        <f t="shared" si="114"/>
        <v>N</v>
      </c>
    </row>
    <row r="406" spans="1:10">
      <c r="A406" t="str">
        <f>"0322UR04"</f>
        <v>0322UR04</v>
      </c>
      <c r="B406" t="str">
        <f t="shared" si="115"/>
        <v>ACT</v>
      </c>
      <c r="C406" t="str">
        <f>"08"</f>
        <v>08</v>
      </c>
      <c r="D406" t="str">
        <f t="shared" si="109"/>
        <v>N/A</v>
      </c>
      <c r="E406" t="str">
        <f>"4086"</f>
        <v>4086</v>
      </c>
      <c r="F406" t="str">
        <f t="shared" si="110"/>
        <v>AEROSTAT</v>
      </c>
      <c r="G406" t="str">
        <f t="shared" si="111"/>
        <v>ESD IONIZER</v>
      </c>
      <c r="H406" t="str">
        <f>"avazquez"</f>
        <v>avazquez</v>
      </c>
      <c r="I406" t="str">
        <f t="shared" si="113"/>
        <v>119</v>
      </c>
      <c r="J406" t="str">
        <f t="shared" si="114"/>
        <v>N</v>
      </c>
    </row>
    <row r="407" spans="1:10">
      <c r="A407" t="str">
        <f>"LE-010-23898"</f>
        <v>LE-010-23898</v>
      </c>
      <c r="B407" t="str">
        <f>"INACT"</f>
        <v>INACT</v>
      </c>
      <c r="C407" t="str">
        <f>"21"</f>
        <v>21</v>
      </c>
      <c r="D407" t="str">
        <f t="shared" si="109"/>
        <v>N/A</v>
      </c>
      <c r="E407" t="str">
        <f>"V237528"</f>
        <v>V237528</v>
      </c>
      <c r="F407" t="str">
        <f t="shared" si="110"/>
        <v>AEROSTAT</v>
      </c>
      <c r="G407" t="str">
        <f t="shared" si="111"/>
        <v>ESD IONIZER</v>
      </c>
      <c r="H407" t="str">
        <f>"avazquez"</f>
        <v>avazquez</v>
      </c>
      <c r="I407" t="str">
        <f t="shared" si="113"/>
        <v>119</v>
      </c>
      <c r="J407" t="str">
        <f t="shared" si="114"/>
        <v>N</v>
      </c>
    </row>
    <row r="408" spans="1:10">
      <c r="A408" t="str">
        <f>"0322MD07"</f>
        <v>0322MD07</v>
      </c>
      <c r="B408" t="str">
        <f>"INACT"</f>
        <v>INACT</v>
      </c>
      <c r="C408" t="str">
        <f>"19"</f>
        <v>19</v>
      </c>
      <c r="D408" t="str">
        <f t="shared" si="109"/>
        <v>N/A</v>
      </c>
      <c r="E408" t="str">
        <f>"KS-001200025"</f>
        <v>KS-001200025</v>
      </c>
      <c r="F408" t="str">
        <f t="shared" ref="F408:F427" si="116">"KS-4220"</f>
        <v>KS-4220</v>
      </c>
      <c r="G408" t="str">
        <f t="shared" si="111"/>
        <v>ESD IONIZER</v>
      </c>
      <c r="H408" t="str">
        <f>"zfernandez"</f>
        <v>zfernandez</v>
      </c>
      <c r="I408" t="str">
        <f t="shared" ref="I408:I427" si="117">"120"</f>
        <v>120</v>
      </c>
      <c r="J408" t="str">
        <f t="shared" si="114"/>
        <v>N</v>
      </c>
    </row>
    <row r="409" spans="1:10">
      <c r="A409" t="str">
        <f>"LE-010-26685"</f>
        <v>LE-010-26685</v>
      </c>
      <c r="B409" t="str">
        <f>"ACT"</f>
        <v>ACT</v>
      </c>
      <c r="C409" t="str">
        <f>"10"</f>
        <v>10</v>
      </c>
      <c r="D409" t="str">
        <f t="shared" si="109"/>
        <v>N/A</v>
      </c>
      <c r="E409" t="str">
        <f>"KS-001200053"</f>
        <v>KS-001200053</v>
      </c>
      <c r="F409" t="str">
        <f t="shared" si="116"/>
        <v>KS-4220</v>
      </c>
      <c r="G409" t="str">
        <f t="shared" si="111"/>
        <v>ESD IONIZER</v>
      </c>
      <c r="H409" t="str">
        <f t="shared" ref="H409:H422" si="118">"avazquez"</f>
        <v>avazquez</v>
      </c>
      <c r="I409" t="str">
        <f t="shared" si="117"/>
        <v>120</v>
      </c>
      <c r="J409" t="str">
        <f t="shared" si="114"/>
        <v>N</v>
      </c>
    </row>
    <row r="410" spans="1:10">
      <c r="A410" t="str">
        <f>"LE-010-28863"</f>
        <v>LE-010-28863</v>
      </c>
      <c r="B410" t="str">
        <f>"INACT"</f>
        <v>INACT</v>
      </c>
      <c r="C410" t="str">
        <f>"19"</f>
        <v>19</v>
      </c>
      <c r="D410" t="str">
        <f t="shared" si="109"/>
        <v>N/A</v>
      </c>
      <c r="E410" t="str">
        <f>"KS-00120048"</f>
        <v>KS-00120048</v>
      </c>
      <c r="F410" t="str">
        <f t="shared" si="116"/>
        <v>KS-4220</v>
      </c>
      <c r="G410" t="str">
        <f t="shared" si="111"/>
        <v>ESD IONIZER</v>
      </c>
      <c r="H410" t="str">
        <f t="shared" si="118"/>
        <v>avazquez</v>
      </c>
      <c r="I410" t="str">
        <f t="shared" si="117"/>
        <v>120</v>
      </c>
      <c r="J410" t="str">
        <f t="shared" si="114"/>
        <v>N</v>
      </c>
    </row>
    <row r="411" spans="1:10">
      <c r="A411" t="str">
        <f>"0322MD09"</f>
        <v>0322MD09</v>
      </c>
      <c r="B411" t="str">
        <f>"INACT"</f>
        <v>INACT</v>
      </c>
      <c r="C411" t="str">
        <f>"19"</f>
        <v>19</v>
      </c>
      <c r="D411" t="str">
        <f t="shared" si="109"/>
        <v>N/A</v>
      </c>
      <c r="E411" t="str">
        <f>"KS-001200030"</f>
        <v>KS-001200030</v>
      </c>
      <c r="F411" t="str">
        <f t="shared" si="116"/>
        <v>KS-4220</v>
      </c>
      <c r="G411" t="str">
        <f t="shared" si="111"/>
        <v>ESD IONIZER</v>
      </c>
      <c r="H411" t="str">
        <f t="shared" si="118"/>
        <v>avazquez</v>
      </c>
      <c r="I411" t="str">
        <f t="shared" si="117"/>
        <v>120</v>
      </c>
      <c r="J411" t="str">
        <f t="shared" si="114"/>
        <v>N</v>
      </c>
    </row>
    <row r="412" spans="1:10">
      <c r="A412" t="str">
        <f>"0322MD12"</f>
        <v>0322MD12</v>
      </c>
      <c r="B412" t="str">
        <f>"INACT"</f>
        <v>INACT</v>
      </c>
      <c r="C412" t="str">
        <f>"03"</f>
        <v>03</v>
      </c>
      <c r="D412" t="str">
        <f t="shared" si="109"/>
        <v>N/A</v>
      </c>
      <c r="E412" t="str">
        <f>"KS-001200029"</f>
        <v>KS-001200029</v>
      </c>
      <c r="F412" t="str">
        <f t="shared" si="116"/>
        <v>KS-4220</v>
      </c>
      <c r="G412" t="str">
        <f t="shared" si="111"/>
        <v>ESD IONIZER</v>
      </c>
      <c r="H412" t="str">
        <f t="shared" si="118"/>
        <v>avazquez</v>
      </c>
      <c r="I412" t="str">
        <f t="shared" si="117"/>
        <v>120</v>
      </c>
      <c r="J412" t="str">
        <f t="shared" si="114"/>
        <v>N</v>
      </c>
    </row>
    <row r="413" spans="1:10">
      <c r="A413" t="str">
        <f>"LE-010-26897"</f>
        <v>LE-010-26897</v>
      </c>
      <c r="B413" t="str">
        <f>"INACT"</f>
        <v>INACT</v>
      </c>
      <c r="C413" t="str">
        <f>"03"</f>
        <v>03</v>
      </c>
      <c r="D413" t="str">
        <f t="shared" si="109"/>
        <v>N/A</v>
      </c>
      <c r="E413" t="str">
        <f>"KS-001200041"</f>
        <v>KS-001200041</v>
      </c>
      <c r="F413" t="str">
        <f t="shared" si="116"/>
        <v>KS-4220</v>
      </c>
      <c r="G413" t="str">
        <f t="shared" si="111"/>
        <v>ESD IONIZER</v>
      </c>
      <c r="H413" t="str">
        <f t="shared" si="118"/>
        <v>avazquez</v>
      </c>
      <c r="I413" t="str">
        <f t="shared" si="117"/>
        <v>120</v>
      </c>
      <c r="J413" t="str">
        <f t="shared" si="114"/>
        <v>N</v>
      </c>
    </row>
    <row r="414" spans="1:10">
      <c r="A414" t="str">
        <f>"0107SB20"</f>
        <v>0107SB20</v>
      </c>
      <c r="B414" t="str">
        <f>"INACT"</f>
        <v>INACT</v>
      </c>
      <c r="C414" t="str">
        <f>"03"</f>
        <v>03</v>
      </c>
      <c r="D414" t="str">
        <f t="shared" si="109"/>
        <v>N/A</v>
      </c>
      <c r="E414" t="str">
        <f>"KS-001200020"</f>
        <v>KS-001200020</v>
      </c>
      <c r="F414" t="str">
        <f t="shared" si="116"/>
        <v>KS-4220</v>
      </c>
      <c r="G414" t="str">
        <f t="shared" si="111"/>
        <v>ESD IONIZER</v>
      </c>
      <c r="H414" t="str">
        <f t="shared" si="118"/>
        <v>avazquez</v>
      </c>
      <c r="I414" t="str">
        <f t="shared" si="117"/>
        <v>120</v>
      </c>
      <c r="J414" t="str">
        <f t="shared" si="114"/>
        <v>N</v>
      </c>
    </row>
    <row r="415" spans="1:10">
      <c r="A415" t="str">
        <f>"LE-010-28864"</f>
        <v>LE-010-28864</v>
      </c>
      <c r="B415" t="str">
        <f>"ACT"</f>
        <v>ACT</v>
      </c>
      <c r="C415" t="str">
        <f>"23"</f>
        <v>23</v>
      </c>
      <c r="D415" t="str">
        <f t="shared" si="109"/>
        <v>N/A</v>
      </c>
      <c r="E415" t="str">
        <f>"KS001200036"</f>
        <v>KS001200036</v>
      </c>
      <c r="F415" t="str">
        <f t="shared" si="116"/>
        <v>KS-4220</v>
      </c>
      <c r="G415" t="str">
        <f t="shared" si="111"/>
        <v>ESD IONIZER</v>
      </c>
      <c r="H415" t="str">
        <f t="shared" si="118"/>
        <v>avazquez</v>
      </c>
      <c r="I415" t="str">
        <f t="shared" si="117"/>
        <v>120</v>
      </c>
      <c r="J415" t="str">
        <f t="shared" si="114"/>
        <v>N</v>
      </c>
    </row>
    <row r="416" spans="1:10">
      <c r="A416" t="str">
        <f>"0322QA00"</f>
        <v>0322QA00</v>
      </c>
      <c r="B416" t="str">
        <f>"ACT"</f>
        <v>ACT</v>
      </c>
      <c r="C416" t="str">
        <f>"23"</f>
        <v>23</v>
      </c>
      <c r="D416" t="str">
        <f t="shared" si="109"/>
        <v>N/A</v>
      </c>
      <c r="E416" t="str">
        <f>"KS001200002"</f>
        <v>KS001200002</v>
      </c>
      <c r="F416" t="str">
        <f t="shared" si="116"/>
        <v>KS-4220</v>
      </c>
      <c r="G416" t="str">
        <f t="shared" si="111"/>
        <v>ESD IONIZER</v>
      </c>
      <c r="H416" t="str">
        <f t="shared" si="118"/>
        <v>avazquez</v>
      </c>
      <c r="I416" t="str">
        <f t="shared" si="117"/>
        <v>120</v>
      </c>
      <c r="J416" t="str">
        <f t="shared" si="114"/>
        <v>N</v>
      </c>
    </row>
    <row r="417" spans="1:10">
      <c r="A417" t="str">
        <f>"0322MD00"</f>
        <v>0322MD00</v>
      </c>
      <c r="B417" t="str">
        <f t="shared" ref="B417:B423" si="119">"INACT"</f>
        <v>INACT</v>
      </c>
      <c r="C417" t="str">
        <f>"11"</f>
        <v>11</v>
      </c>
      <c r="D417" t="str">
        <f t="shared" si="109"/>
        <v>N/A</v>
      </c>
      <c r="E417" t="str">
        <f>"KS-001200026"</f>
        <v>KS-001200026</v>
      </c>
      <c r="F417" t="str">
        <f t="shared" si="116"/>
        <v>KS-4220</v>
      </c>
      <c r="G417" t="str">
        <f t="shared" si="111"/>
        <v>ESD IONIZER</v>
      </c>
      <c r="H417" t="str">
        <f t="shared" si="118"/>
        <v>avazquez</v>
      </c>
      <c r="I417" t="str">
        <f t="shared" si="117"/>
        <v>120</v>
      </c>
      <c r="J417" t="str">
        <f t="shared" si="114"/>
        <v>N</v>
      </c>
    </row>
    <row r="418" spans="1:10">
      <c r="A418" t="str">
        <f>"LE-010-26902"</f>
        <v>LE-010-26902</v>
      </c>
      <c r="B418" t="str">
        <f t="shared" si="119"/>
        <v>INACT</v>
      </c>
      <c r="C418" t="str">
        <f>"11"</f>
        <v>11</v>
      </c>
      <c r="D418" t="str">
        <f t="shared" si="109"/>
        <v>N/A</v>
      </c>
      <c r="E418" t="str">
        <f>"KS-001200018"</f>
        <v>KS-001200018</v>
      </c>
      <c r="F418" t="str">
        <f t="shared" si="116"/>
        <v>KS-4220</v>
      </c>
      <c r="G418" t="str">
        <f t="shared" si="111"/>
        <v>ESD IONIZER</v>
      </c>
      <c r="H418" t="str">
        <f t="shared" si="118"/>
        <v>avazquez</v>
      </c>
      <c r="I418" t="str">
        <f t="shared" si="117"/>
        <v>120</v>
      </c>
      <c r="J418" t="str">
        <f t="shared" si="114"/>
        <v>N</v>
      </c>
    </row>
    <row r="419" spans="1:10">
      <c r="A419" t="str">
        <f>"0323NT12"</f>
        <v>0323NT12</v>
      </c>
      <c r="B419" t="str">
        <f t="shared" si="119"/>
        <v>INACT</v>
      </c>
      <c r="C419" t="str">
        <f>"11"</f>
        <v>11</v>
      </c>
      <c r="D419" t="str">
        <f t="shared" si="109"/>
        <v>N/A</v>
      </c>
      <c r="E419" t="str">
        <f>"KS-001200028"</f>
        <v>KS-001200028</v>
      </c>
      <c r="F419" t="str">
        <f t="shared" si="116"/>
        <v>KS-4220</v>
      </c>
      <c r="G419" t="str">
        <f t="shared" si="111"/>
        <v>ESD IONIZER</v>
      </c>
      <c r="H419" t="str">
        <f t="shared" si="118"/>
        <v>avazquez</v>
      </c>
      <c r="I419" t="str">
        <f t="shared" si="117"/>
        <v>120</v>
      </c>
      <c r="J419" t="str">
        <f t="shared" si="114"/>
        <v>N</v>
      </c>
    </row>
    <row r="420" spans="1:10">
      <c r="A420" t="str">
        <f>"LE-010-26873"</f>
        <v>LE-010-26873</v>
      </c>
      <c r="B420" t="str">
        <f t="shared" si="119"/>
        <v>INACT</v>
      </c>
      <c r="C420" t="str">
        <f>"20"</f>
        <v>20</v>
      </c>
      <c r="D420" t="str">
        <f t="shared" si="109"/>
        <v>N/A</v>
      </c>
      <c r="E420" t="str">
        <f>"KS-001200047"</f>
        <v>KS-001200047</v>
      </c>
      <c r="F420" t="str">
        <f t="shared" si="116"/>
        <v>KS-4220</v>
      </c>
      <c r="G420" t="str">
        <f t="shared" si="111"/>
        <v>ESD IONIZER</v>
      </c>
      <c r="H420" t="str">
        <f t="shared" si="118"/>
        <v>avazquez</v>
      </c>
      <c r="I420" t="str">
        <f t="shared" si="117"/>
        <v>120</v>
      </c>
      <c r="J420" t="str">
        <f t="shared" si="114"/>
        <v>N</v>
      </c>
    </row>
    <row r="421" spans="1:10">
      <c r="A421" t="str">
        <f>"LE-010-28854"</f>
        <v>LE-010-28854</v>
      </c>
      <c r="B421" t="str">
        <f t="shared" si="119"/>
        <v>INACT</v>
      </c>
      <c r="C421" t="str">
        <f>"20"</f>
        <v>20</v>
      </c>
      <c r="D421" t="str">
        <f t="shared" si="109"/>
        <v>N/A</v>
      </c>
      <c r="E421" t="str">
        <f>"KS-001200004"</f>
        <v>KS-001200004</v>
      </c>
      <c r="F421" t="str">
        <f t="shared" si="116"/>
        <v>KS-4220</v>
      </c>
      <c r="G421" t="str">
        <f t="shared" si="111"/>
        <v>ESD IONIZER</v>
      </c>
      <c r="H421" t="str">
        <f t="shared" si="118"/>
        <v>avazquez</v>
      </c>
      <c r="I421" t="str">
        <f t="shared" si="117"/>
        <v>120</v>
      </c>
      <c r="J421" t="str">
        <f t="shared" si="114"/>
        <v>N</v>
      </c>
    </row>
    <row r="422" spans="1:10">
      <c r="A422" t="str">
        <f>"0347MD00"</f>
        <v>0347MD00</v>
      </c>
      <c r="B422" t="str">
        <f t="shared" si="119"/>
        <v>INACT</v>
      </c>
      <c r="C422" t="str">
        <f>"20"</f>
        <v>20</v>
      </c>
      <c r="D422" t="str">
        <f t="shared" si="109"/>
        <v>N/A</v>
      </c>
      <c r="E422" t="str">
        <f>"KS-001200024"</f>
        <v>KS-001200024</v>
      </c>
      <c r="F422" t="str">
        <f t="shared" si="116"/>
        <v>KS-4220</v>
      </c>
      <c r="G422" t="str">
        <f t="shared" si="111"/>
        <v>ESD IONIZER</v>
      </c>
      <c r="H422" t="str">
        <f t="shared" si="118"/>
        <v>avazquez</v>
      </c>
      <c r="I422" t="str">
        <f t="shared" si="117"/>
        <v>120</v>
      </c>
      <c r="J422" t="str">
        <f t="shared" si="114"/>
        <v>N</v>
      </c>
    </row>
    <row r="423" spans="1:10">
      <c r="A423" t="str">
        <f>"LE-010-28851"</f>
        <v>LE-010-28851</v>
      </c>
      <c r="B423" t="str">
        <f t="shared" si="119"/>
        <v>INACT</v>
      </c>
      <c r="C423" t="str">
        <f>"19"</f>
        <v>19</v>
      </c>
      <c r="D423" t="str">
        <f t="shared" si="109"/>
        <v>N/A</v>
      </c>
      <c r="E423" t="str">
        <f>"KS-001200009"</f>
        <v>KS-001200009</v>
      </c>
      <c r="F423" t="str">
        <f t="shared" si="116"/>
        <v>KS-4220</v>
      </c>
      <c r="G423" t="str">
        <f t="shared" si="111"/>
        <v>ESD IONIZER</v>
      </c>
      <c r="H423" t="str">
        <f>"zfernandez"</f>
        <v>zfernandez</v>
      </c>
      <c r="I423" t="str">
        <f t="shared" si="117"/>
        <v>120</v>
      </c>
      <c r="J423" t="str">
        <f t="shared" si="114"/>
        <v>N</v>
      </c>
    </row>
    <row r="424" spans="1:10">
      <c r="A424" t="str">
        <f>"LE-010-28855"</f>
        <v>LE-010-28855</v>
      </c>
      <c r="B424" t="str">
        <f>"ACT"</f>
        <v>ACT</v>
      </c>
      <c r="C424" t="str">
        <f>"08"</f>
        <v>08</v>
      </c>
      <c r="D424" t="str">
        <f t="shared" si="109"/>
        <v>N/A</v>
      </c>
      <c r="E424" t="str">
        <f>"KS-00120005"</f>
        <v>KS-00120005</v>
      </c>
      <c r="F424" t="str">
        <f t="shared" si="116"/>
        <v>KS-4220</v>
      </c>
      <c r="G424" t="str">
        <f t="shared" si="111"/>
        <v>ESD IONIZER</v>
      </c>
      <c r="H424" t="str">
        <f>"avazquez"</f>
        <v>avazquez</v>
      </c>
      <c r="I424" t="str">
        <f t="shared" si="117"/>
        <v>120</v>
      </c>
      <c r="J424" t="str">
        <f t="shared" si="114"/>
        <v>N</v>
      </c>
    </row>
    <row r="425" spans="1:10">
      <c r="A425" t="str">
        <f>"LE-010-26921"</f>
        <v>LE-010-26921</v>
      </c>
      <c r="B425" t="str">
        <f t="shared" ref="B425:B430" si="120">"INACT"</f>
        <v>INACT</v>
      </c>
      <c r="C425" t="str">
        <f>"19"</f>
        <v>19</v>
      </c>
      <c r="D425" t="str">
        <f t="shared" si="109"/>
        <v>N/A</v>
      </c>
      <c r="E425" t="str">
        <f>"KS-001200058"</f>
        <v>KS-001200058</v>
      </c>
      <c r="F425" t="str">
        <f t="shared" si="116"/>
        <v>KS-4220</v>
      </c>
      <c r="G425" t="str">
        <f t="shared" si="111"/>
        <v>ESD IONIZER</v>
      </c>
      <c r="H425" t="str">
        <f>"zfernandez"</f>
        <v>zfernandez</v>
      </c>
      <c r="I425" t="str">
        <f t="shared" si="117"/>
        <v>120</v>
      </c>
      <c r="J425" t="str">
        <f t="shared" si="114"/>
        <v>N</v>
      </c>
    </row>
    <row r="426" spans="1:10">
      <c r="A426" t="str">
        <f>"LE-010-28865"</f>
        <v>LE-010-28865</v>
      </c>
      <c r="B426" t="str">
        <f t="shared" si="120"/>
        <v>INACT</v>
      </c>
      <c r="C426" t="str">
        <f>"03"</f>
        <v>03</v>
      </c>
      <c r="D426" t="str">
        <f t="shared" si="109"/>
        <v>N/A</v>
      </c>
      <c r="E426" t="str">
        <f>"KS-001200044"</f>
        <v>KS-001200044</v>
      </c>
      <c r="F426" t="str">
        <f t="shared" si="116"/>
        <v>KS-4220</v>
      </c>
      <c r="G426" t="str">
        <f t="shared" si="111"/>
        <v>ESD IONIZER</v>
      </c>
      <c r="H426" t="str">
        <f>"avazquez"</f>
        <v>avazquez</v>
      </c>
      <c r="I426" t="str">
        <f t="shared" si="117"/>
        <v>120</v>
      </c>
      <c r="J426" t="str">
        <f t="shared" si="114"/>
        <v>N</v>
      </c>
    </row>
    <row r="427" spans="1:10">
      <c r="A427" t="str">
        <f>"LE-010-26884"</f>
        <v>LE-010-26884</v>
      </c>
      <c r="B427" t="str">
        <f t="shared" si="120"/>
        <v>INACT</v>
      </c>
      <c r="C427" t="str">
        <f>"11"</f>
        <v>11</v>
      </c>
      <c r="D427" t="str">
        <f t="shared" si="109"/>
        <v>N/A</v>
      </c>
      <c r="E427" t="str">
        <f>"KS-001200052"</f>
        <v>KS-001200052</v>
      </c>
      <c r="F427" t="str">
        <f t="shared" si="116"/>
        <v>KS-4220</v>
      </c>
      <c r="G427" t="str">
        <f t="shared" si="111"/>
        <v>ESD IONIZER</v>
      </c>
      <c r="H427" t="str">
        <f>"avazquez"</f>
        <v>avazquez</v>
      </c>
      <c r="I427" t="str">
        <f t="shared" si="117"/>
        <v>120</v>
      </c>
      <c r="J427" t="str">
        <f t="shared" si="114"/>
        <v>N</v>
      </c>
    </row>
    <row r="428" spans="1:10">
      <c r="A428" t="str">
        <f>"LE-010-23916"</f>
        <v>LE-010-23916</v>
      </c>
      <c r="B428" t="str">
        <f t="shared" si="120"/>
        <v>INACT</v>
      </c>
      <c r="C428" t="str">
        <f>"22"</f>
        <v>22</v>
      </c>
      <c r="D428" t="str">
        <f t="shared" si="109"/>
        <v>N/A</v>
      </c>
      <c r="E428" t="str">
        <f>"Y396293"</f>
        <v>Y396293</v>
      </c>
      <c r="F428" t="str">
        <f>"AEROSTAT"</f>
        <v>AEROSTAT</v>
      </c>
      <c r="G428" t="str">
        <f t="shared" si="111"/>
        <v>ESD IONIZER</v>
      </c>
      <c r="H428" t="str">
        <f>"avazquez"</f>
        <v>avazquez</v>
      </c>
      <c r="I428" t="str">
        <f>"119"</f>
        <v>119</v>
      </c>
      <c r="J428" t="str">
        <f t="shared" si="114"/>
        <v>N</v>
      </c>
    </row>
    <row r="429" spans="1:10">
      <c r="A429" t="str">
        <f>"0350MD00"</f>
        <v>0350MD00</v>
      </c>
      <c r="B429" t="str">
        <f t="shared" si="120"/>
        <v>INACT</v>
      </c>
      <c r="C429" t="str">
        <f>"23"</f>
        <v>23</v>
      </c>
      <c r="D429" t="str">
        <f t="shared" si="109"/>
        <v>N/A</v>
      </c>
      <c r="E429" t="str">
        <f>"V237527"</f>
        <v>V237527</v>
      </c>
      <c r="F429" t="str">
        <f>"AEROSTAT"</f>
        <v>AEROSTAT</v>
      </c>
      <c r="G429" t="str">
        <f t="shared" si="111"/>
        <v>ESD IONIZER</v>
      </c>
      <c r="H429" t="str">
        <f>"avazquez"</f>
        <v>avazquez</v>
      </c>
      <c r="I429" t="str">
        <f>"119"</f>
        <v>119</v>
      </c>
      <c r="J429" t="str">
        <f t="shared" si="114"/>
        <v>N</v>
      </c>
    </row>
    <row r="430" spans="1:10">
      <c r="A430" t="str">
        <f>"0319UR156"</f>
        <v>0319UR156</v>
      </c>
      <c r="B430" t="str">
        <f t="shared" si="120"/>
        <v>INACT</v>
      </c>
      <c r="C430" t="str">
        <f>"08"</f>
        <v>08</v>
      </c>
      <c r="D430" t="str">
        <f t="shared" si="109"/>
        <v>N/A</v>
      </c>
      <c r="E430" t="str">
        <f>"01055"</f>
        <v>01055</v>
      </c>
      <c r="F430" t="str">
        <f>"1014-CBC"</f>
        <v>1014-CBC</v>
      </c>
      <c r="G430" t="str">
        <f>"COOLANT CIRCULATION SYSTEM"</f>
        <v>COOLANT CIRCULATION SYSTEM</v>
      </c>
      <c r="H430" t="str">
        <f>"grobles"</f>
        <v>grobles</v>
      </c>
      <c r="I430" t="str">
        <f>"121"</f>
        <v>121</v>
      </c>
      <c r="J430" t="str">
        <f t="shared" si="114"/>
        <v>N</v>
      </c>
    </row>
    <row r="431" spans="1:10">
      <c r="A431" t="str">
        <f>"0544UR19"</f>
        <v>0544UR19</v>
      </c>
      <c r="B431" t="str">
        <f>"ACT"</f>
        <v>ACT</v>
      </c>
      <c r="C431" t="str">
        <f>"09"</f>
        <v>09</v>
      </c>
      <c r="D431" t="str">
        <f t="shared" si="109"/>
        <v>N/A</v>
      </c>
      <c r="E431" t="str">
        <f>"F-3232-5"</f>
        <v>F-3232-5</v>
      </c>
      <c r="F431" t="str">
        <f>"MR - 500A "</f>
        <v xml:space="preserve">MR - 500A </v>
      </c>
      <c r="G431" t="str">
        <f>"    FIXTURE R-195"</f>
        <v xml:space="preserve">    FIXTURE R-195</v>
      </c>
      <c r="H431" t="str">
        <f>"ecerda"</f>
        <v>ecerda</v>
      </c>
      <c r="I431" t="str">
        <f>"081"</f>
        <v>081</v>
      </c>
      <c r="J431" t="str">
        <f t="shared" si="114"/>
        <v>N</v>
      </c>
    </row>
    <row r="432" spans="1:10">
      <c r="A432" t="str">
        <f>"LE-206-00102"</f>
        <v>LE-206-00102</v>
      </c>
      <c r="B432" t="str">
        <f>"ACT"</f>
        <v>ACT</v>
      </c>
      <c r="C432" t="str">
        <f>"04"</f>
        <v>04</v>
      </c>
      <c r="D432" t="str">
        <f>"TQP00330"</f>
        <v>TQP00330</v>
      </c>
      <c r="E432" t="str">
        <f>"200102-D0147"</f>
        <v>200102-D0147</v>
      </c>
      <c r="F432" t="str">
        <f>"MS-50DP"</f>
        <v>MS-50DP</v>
      </c>
      <c r="G432" t="str">
        <f>"LEAK TEST EQUIPMENT"</f>
        <v>LEAK TEST EQUIPMENT</v>
      </c>
      <c r="H432" t="str">
        <f>"ageronimo"</f>
        <v>ageronimo</v>
      </c>
      <c r="I432" t="str">
        <f>"122"</f>
        <v>122</v>
      </c>
      <c r="J432" t="str">
        <f t="shared" si="114"/>
        <v>N</v>
      </c>
    </row>
    <row r="433" spans="1:10">
      <c r="A433" t="str">
        <f>"LE-005-00275"</f>
        <v>LE-005-00275</v>
      </c>
      <c r="B433" t="str">
        <f>"INACT"</f>
        <v>INACT</v>
      </c>
      <c r="C433" t="str">
        <f>"08"</f>
        <v>08</v>
      </c>
      <c r="D433" t="str">
        <f>"TQP00337"</f>
        <v>TQP00337</v>
      </c>
      <c r="E433" t="str">
        <f>"D0120"</f>
        <v>D0120</v>
      </c>
      <c r="F433" t="str">
        <f>"MS-50DP"</f>
        <v>MS-50DP</v>
      </c>
      <c r="G433" t="str">
        <f>"LEAK TEST EQUIPMENT"</f>
        <v>LEAK TEST EQUIPMENT</v>
      </c>
      <c r="H433" t="str">
        <f>"ageronimo"</f>
        <v>ageronimo</v>
      </c>
      <c r="I433" t="str">
        <f>"122"</f>
        <v>122</v>
      </c>
      <c r="J433" t="str">
        <f t="shared" si="114"/>
        <v>N</v>
      </c>
    </row>
    <row r="434" spans="1:10">
      <c r="A434" t="str">
        <f>"0607LX03"</f>
        <v>0607LX03</v>
      </c>
      <c r="B434" t="str">
        <f>"INACT"</f>
        <v>INACT</v>
      </c>
      <c r="C434" t="str">
        <f>"19"</f>
        <v>19</v>
      </c>
      <c r="D434" t="str">
        <f>"TQP12615"</f>
        <v>TQP12615</v>
      </c>
      <c r="E434" t="str">
        <f>"D0131"</f>
        <v>D0131</v>
      </c>
      <c r="F434" t="str">
        <f>"MS-50DP"</f>
        <v>MS-50DP</v>
      </c>
      <c r="G434" t="str">
        <f>"LEAK TEST EQUIPMENT"</f>
        <v>LEAK TEST EQUIPMENT</v>
      </c>
      <c r="H434" t="str">
        <f>"ageronimo"</f>
        <v>ageronimo</v>
      </c>
      <c r="I434" t="str">
        <f>"122"</f>
        <v>122</v>
      </c>
      <c r="J434" t="str">
        <f t="shared" si="114"/>
        <v>N</v>
      </c>
    </row>
    <row r="435" spans="1:10">
      <c r="A435" t="str">
        <f>"LE-011-01879"</f>
        <v>LE-011-01879</v>
      </c>
      <c r="B435" t="str">
        <f>"ACT"</f>
        <v>ACT</v>
      </c>
      <c r="C435" t="str">
        <f>"04"</f>
        <v>04</v>
      </c>
      <c r="D435" t="str">
        <f>"TQP00329"</f>
        <v>TQP00329</v>
      </c>
      <c r="E435" t="str">
        <f>"0997G2-029"</f>
        <v>0997G2-029</v>
      </c>
      <c r="F435" t="str">
        <f>"GEN-2"</f>
        <v>GEN-2</v>
      </c>
      <c r="G435" t="str">
        <f>"SEAM SEALER "</f>
        <v xml:space="preserve">SEAM SEALER </v>
      </c>
      <c r="H435" t="str">
        <f>"ageronimo"</f>
        <v>ageronimo</v>
      </c>
      <c r="I435" t="str">
        <f>"123"</f>
        <v>123</v>
      </c>
      <c r="J435" t="str">
        <f t="shared" si="114"/>
        <v>N</v>
      </c>
    </row>
    <row r="436" spans="1:10">
      <c r="A436" t="str">
        <f>"LE-011-01480"</f>
        <v>LE-011-01480</v>
      </c>
      <c r="B436" t="str">
        <f>"ACT"</f>
        <v>ACT</v>
      </c>
      <c r="C436" t="str">
        <f>"04"</f>
        <v>04</v>
      </c>
      <c r="D436" t="str">
        <f>"TQP09105"</f>
        <v>TQP09105</v>
      </c>
      <c r="E436" t="str">
        <f>"0404G2-181"</f>
        <v>0404G2-181</v>
      </c>
      <c r="F436" t="str">
        <f>"GEN II"</f>
        <v>GEN II</v>
      </c>
      <c r="G436" t="str">
        <f>"SEAM SEALER "</f>
        <v xml:space="preserve">SEAM SEALER </v>
      </c>
      <c r="H436" t="str">
        <f>"ageronimo"</f>
        <v>ageronimo</v>
      </c>
      <c r="I436" t="str">
        <f>"123"</f>
        <v>123</v>
      </c>
      <c r="J436" t="str">
        <f t="shared" si="114"/>
        <v>N</v>
      </c>
    </row>
    <row r="437" spans="1:10">
      <c r="A437" t="str">
        <f>"0524UR00"</f>
        <v>0524UR00</v>
      </c>
      <c r="B437" t="str">
        <f>"INACT"</f>
        <v>INACT</v>
      </c>
      <c r="C437" t="str">
        <f>"01"</f>
        <v>01</v>
      </c>
      <c r="D437" t="str">
        <f>"TQP12618"</f>
        <v>TQP12618</v>
      </c>
      <c r="E437" t="str">
        <f>"298"</f>
        <v>298</v>
      </c>
      <c r="F437" t="str">
        <f>"OS-33"</f>
        <v>OS-33</v>
      </c>
      <c r="G437" t="str">
        <f>"SEAM SEALER"</f>
        <v>SEAM SEALER</v>
      </c>
      <c r="H437" t="str">
        <f>"cgallegos"</f>
        <v>cgallegos</v>
      </c>
      <c r="I437" t="str">
        <f>"056"</f>
        <v>056</v>
      </c>
      <c r="J437" t="str">
        <f t="shared" si="114"/>
        <v>N</v>
      </c>
    </row>
    <row r="438" spans="1:10">
      <c r="A438" t="str">
        <f>"0319UR32"</f>
        <v>0319UR32</v>
      </c>
      <c r="B438" t="str">
        <f>"ACT"</f>
        <v>ACT</v>
      </c>
      <c r="C438" t="str">
        <f>"25"</f>
        <v>25</v>
      </c>
      <c r="D438" t="str">
        <f>"TQP00338"</f>
        <v>TQP00338</v>
      </c>
      <c r="E438" t="str">
        <f>"219"</f>
        <v>219</v>
      </c>
      <c r="F438" t="str">
        <f>"OS-33"</f>
        <v>OS-33</v>
      </c>
      <c r="G438" t="str">
        <f>"SEAM SEALER"</f>
        <v>SEAM SEALER</v>
      </c>
      <c r="H438" t="str">
        <f>"ageronimo"</f>
        <v>ageronimo</v>
      </c>
      <c r="I438" t="str">
        <f>"056"</f>
        <v>056</v>
      </c>
      <c r="J438" t="str">
        <f t="shared" si="114"/>
        <v>N</v>
      </c>
    </row>
    <row r="439" spans="1:10">
      <c r="A439" t="str">
        <f>"LE-082-00334"</f>
        <v>LE-082-00334</v>
      </c>
      <c r="B439" t="str">
        <f>"ACT"</f>
        <v>ACT</v>
      </c>
      <c r="C439" t="str">
        <f>"04"</f>
        <v>04</v>
      </c>
      <c r="D439" t="str">
        <f>"TQP00336"</f>
        <v>TQP00336</v>
      </c>
      <c r="E439" t="str">
        <f>"LTS1000APC"</f>
        <v>LTS1000APC</v>
      </c>
      <c r="F439" t="str">
        <f>"1180047"</f>
        <v>1180047</v>
      </c>
      <c r="G439" t="str">
        <f>"SOLDER DIPPING SYSTEM"</f>
        <v>SOLDER DIPPING SYSTEM</v>
      </c>
      <c r="H439" t="str">
        <f>"ageronimo"</f>
        <v>ageronimo</v>
      </c>
      <c r="I439" t="str">
        <f>"124"</f>
        <v>124</v>
      </c>
      <c r="J439" t="str">
        <f t="shared" si="114"/>
        <v>N</v>
      </c>
    </row>
    <row r="440" spans="1:10">
      <c r="A440" t="str">
        <f>"LE-010-27191"</f>
        <v>LE-010-27191</v>
      </c>
      <c r="B440" t="str">
        <f>"INACT"</f>
        <v>INACT</v>
      </c>
      <c r="C440" t="str">
        <f>"19"</f>
        <v>19</v>
      </c>
      <c r="D440" t="str">
        <f t="shared" ref="D440:D445" si="121">"N/A"</f>
        <v>N/A</v>
      </c>
      <c r="E440" t="str">
        <f>"PWS-1100005"</f>
        <v>PWS-1100005</v>
      </c>
      <c r="F440" t="str">
        <f t="shared" ref="F440:F445" si="122">"WSST-300"</f>
        <v>WSST-300</v>
      </c>
      <c r="G440" t="str">
        <f t="shared" ref="G440:G445" si="123">"WRIST STRAP TESTER"</f>
        <v>WRIST STRAP TESTER</v>
      </c>
      <c r="H440" t="str">
        <f>"zfernandez"</f>
        <v>zfernandez</v>
      </c>
      <c r="I440" t="str">
        <f t="shared" ref="I440:I445" si="124">"058"</f>
        <v>058</v>
      </c>
      <c r="J440" t="str">
        <f t="shared" si="114"/>
        <v>N</v>
      </c>
    </row>
    <row r="441" spans="1:10">
      <c r="A441" t="str">
        <f>"LE-010-27195"</f>
        <v>LE-010-27195</v>
      </c>
      <c r="B441" t="str">
        <f>"ACT"</f>
        <v>ACT</v>
      </c>
      <c r="C441" t="str">
        <f>"04"</f>
        <v>04</v>
      </c>
      <c r="D441" t="str">
        <f t="shared" si="121"/>
        <v>N/A</v>
      </c>
      <c r="E441" t="str">
        <f>"PWS-1100009"</f>
        <v>PWS-1100009</v>
      </c>
      <c r="F441" t="str">
        <f t="shared" si="122"/>
        <v>WSST-300</v>
      </c>
      <c r="G441" t="str">
        <f t="shared" si="123"/>
        <v>WRIST STRAP TESTER</v>
      </c>
      <c r="H441" t="str">
        <f>"avazquez"</f>
        <v>avazquez</v>
      </c>
      <c r="I441" t="str">
        <f t="shared" si="124"/>
        <v>058</v>
      </c>
      <c r="J441" t="str">
        <f t="shared" si="114"/>
        <v>N</v>
      </c>
    </row>
    <row r="442" spans="1:10">
      <c r="A442" t="str">
        <f>"LE-010-28301"</f>
        <v>LE-010-28301</v>
      </c>
      <c r="B442" t="str">
        <f>"ACT"</f>
        <v>ACT</v>
      </c>
      <c r="C442" t="str">
        <f>"13"</f>
        <v>13</v>
      </c>
      <c r="D442" t="str">
        <f t="shared" si="121"/>
        <v>N/A</v>
      </c>
      <c r="E442" t="str">
        <f>"PWS-1100008"</f>
        <v>PWS-1100008</v>
      </c>
      <c r="F442" t="str">
        <f t="shared" si="122"/>
        <v>WSST-300</v>
      </c>
      <c r="G442" t="str">
        <f t="shared" si="123"/>
        <v>WRIST STRAP TESTER</v>
      </c>
      <c r="H442" t="str">
        <f>"avazquez"</f>
        <v>avazquez</v>
      </c>
      <c r="I442" t="str">
        <f t="shared" si="124"/>
        <v>058</v>
      </c>
      <c r="J442" t="str">
        <f t="shared" si="114"/>
        <v>N</v>
      </c>
    </row>
    <row r="443" spans="1:10">
      <c r="A443" t="str">
        <f>"LE-010-27189"</f>
        <v>LE-010-27189</v>
      </c>
      <c r="B443" t="str">
        <f>"ACT"</f>
        <v>ACT</v>
      </c>
      <c r="C443" t="str">
        <f>"07"</f>
        <v>07</v>
      </c>
      <c r="D443" t="str">
        <f t="shared" si="121"/>
        <v>N/A</v>
      </c>
      <c r="E443" t="str">
        <f>"PWS-1100003"</f>
        <v>PWS-1100003</v>
      </c>
      <c r="F443" t="str">
        <f t="shared" si="122"/>
        <v>WSST-300</v>
      </c>
      <c r="G443" t="str">
        <f t="shared" si="123"/>
        <v>WRIST STRAP TESTER</v>
      </c>
      <c r="H443" t="str">
        <f>"avazquez"</f>
        <v>avazquez</v>
      </c>
      <c r="I443" t="str">
        <f t="shared" si="124"/>
        <v>058</v>
      </c>
      <c r="J443" t="str">
        <f t="shared" si="114"/>
        <v>N</v>
      </c>
    </row>
    <row r="444" spans="1:10">
      <c r="A444" t="str">
        <f>"LE-010-27190"</f>
        <v>LE-010-27190</v>
      </c>
      <c r="B444" t="str">
        <f>"INACT"</f>
        <v>INACT</v>
      </c>
      <c r="C444" t="str">
        <f>"19"</f>
        <v>19</v>
      </c>
      <c r="D444" t="str">
        <f t="shared" si="121"/>
        <v>N/A</v>
      </c>
      <c r="E444" t="str">
        <f>"PWS-1100004"</f>
        <v>PWS-1100004</v>
      </c>
      <c r="F444" t="str">
        <f t="shared" si="122"/>
        <v>WSST-300</v>
      </c>
      <c r="G444" t="str">
        <f t="shared" si="123"/>
        <v>WRIST STRAP TESTER</v>
      </c>
      <c r="H444" t="str">
        <f>"zfernandez"</f>
        <v>zfernandez</v>
      </c>
      <c r="I444" t="str">
        <f t="shared" si="124"/>
        <v>058</v>
      </c>
      <c r="J444" t="str">
        <f t="shared" si="114"/>
        <v>N</v>
      </c>
    </row>
    <row r="445" spans="1:10">
      <c r="A445" t="str">
        <f>"LE-010-27188"</f>
        <v>LE-010-27188</v>
      </c>
      <c r="B445" t="str">
        <f>"ACT"</f>
        <v>ACT</v>
      </c>
      <c r="C445" t="str">
        <f>"27"</f>
        <v>27</v>
      </c>
      <c r="D445" t="str">
        <f t="shared" si="121"/>
        <v>N/A</v>
      </c>
      <c r="E445" t="str">
        <f>"PWS-1100002"</f>
        <v>PWS-1100002</v>
      </c>
      <c r="F445" t="str">
        <f t="shared" si="122"/>
        <v>WSST-300</v>
      </c>
      <c r="G445" t="str">
        <f t="shared" si="123"/>
        <v>WRIST STRAP TESTER</v>
      </c>
      <c r="H445" t="str">
        <f>"zfernandez"</f>
        <v>zfernandez</v>
      </c>
      <c r="I445" t="str">
        <f t="shared" si="124"/>
        <v>058</v>
      </c>
      <c r="J445" t="str">
        <f t="shared" si="114"/>
        <v>N</v>
      </c>
    </row>
    <row r="446" spans="1:10">
      <c r="A446" t="str">
        <f>"LE-001-04929"</f>
        <v>LE-001-04929</v>
      </c>
      <c r="B446" t="str">
        <f>"ACT"</f>
        <v>ACT</v>
      </c>
      <c r="C446" t="str">
        <f>"04"</f>
        <v>04</v>
      </c>
      <c r="D446" t="str">
        <f>"TQP 01632"</f>
        <v>TQP 01632</v>
      </c>
      <c r="E446" t="str">
        <f>"N/A"</f>
        <v>N/A</v>
      </c>
      <c r="F446" t="str">
        <f>"N/A"</f>
        <v>N/A</v>
      </c>
      <c r="G446" t="str">
        <f>"TEST SET RACK   BER # 04"</f>
        <v>TEST SET RACK   BER # 04</v>
      </c>
      <c r="H446" t="str">
        <f>"jcastaneda"</f>
        <v>jcastaneda</v>
      </c>
      <c r="I446" t="str">
        <f>"081"</f>
        <v>081</v>
      </c>
      <c r="J446" t="str">
        <f t="shared" si="114"/>
        <v>N</v>
      </c>
    </row>
    <row r="447" spans="1:10">
      <c r="A447" t="str">
        <f>"LE-001-05296"</f>
        <v>LE-001-05296</v>
      </c>
      <c r="B447" t="str">
        <f>"ACT"</f>
        <v>ACT</v>
      </c>
      <c r="C447" t="str">
        <f>"04"</f>
        <v>04</v>
      </c>
      <c r="D447" t="str">
        <f>"TQP01634"</f>
        <v>TQP01634</v>
      </c>
      <c r="E447" t="str">
        <f>"N/A"</f>
        <v>N/A</v>
      </c>
      <c r="F447" t="str">
        <f>"N/A"</f>
        <v>N/A</v>
      </c>
      <c r="G447" t="str">
        <f>"TEST SET RACK   BER # 06"</f>
        <v>TEST SET RACK   BER # 06</v>
      </c>
      <c r="H447" t="str">
        <f>"jcastaneda"</f>
        <v>jcastaneda</v>
      </c>
      <c r="I447" t="str">
        <f>"081"</f>
        <v>081</v>
      </c>
      <c r="J447" t="str">
        <f t="shared" si="114"/>
        <v>N</v>
      </c>
    </row>
    <row r="448" spans="1:10">
      <c r="A448" t="str">
        <f>"LE-010-26534"</f>
        <v>LE-010-26534</v>
      </c>
      <c r="B448" t="str">
        <f>"ACT"</f>
        <v>ACT</v>
      </c>
      <c r="C448" t="str">
        <f>"08"</f>
        <v>08</v>
      </c>
      <c r="D448" t="str">
        <f t="shared" ref="D448:D511" si="125">"N/A"</f>
        <v>N/A</v>
      </c>
      <c r="E448" t="str">
        <f>"CML-1100054"</f>
        <v>CML-1100054</v>
      </c>
      <c r="F448" t="str">
        <f t="shared" ref="F448:F511" si="126">"CM-500"</f>
        <v>CM-500</v>
      </c>
      <c r="G448" t="str">
        <f t="shared" ref="G448:G479" si="127">"ESD CONSTANT MONITOR"</f>
        <v>ESD CONSTANT MONITOR</v>
      </c>
      <c r="H448" t="str">
        <f>"avazquez"</f>
        <v>avazquez</v>
      </c>
      <c r="I448" t="str">
        <f t="shared" ref="I448:I511" si="128">"058"</f>
        <v>058</v>
      </c>
      <c r="J448" t="str">
        <f t="shared" si="114"/>
        <v>N</v>
      </c>
    </row>
    <row r="449" spans="1:10">
      <c r="A449" t="str">
        <f>"LE-010-27194"</f>
        <v>LE-010-27194</v>
      </c>
      <c r="B449" t="str">
        <f>"INACT"</f>
        <v>INACT</v>
      </c>
      <c r="C449" t="str">
        <f>"30"</f>
        <v>30</v>
      </c>
      <c r="D449" t="str">
        <f t="shared" si="125"/>
        <v>N/A</v>
      </c>
      <c r="E449" t="str">
        <f>"CML-1100008"</f>
        <v>CML-1100008</v>
      </c>
      <c r="F449" t="str">
        <f t="shared" si="126"/>
        <v>CM-500</v>
      </c>
      <c r="G449" t="str">
        <f t="shared" si="127"/>
        <v>ESD CONSTANT MONITOR</v>
      </c>
      <c r="H449" t="str">
        <f>"gbejar"</f>
        <v>gbejar</v>
      </c>
      <c r="I449" t="str">
        <f t="shared" si="128"/>
        <v>058</v>
      </c>
      <c r="J449" t="str">
        <f t="shared" si="114"/>
        <v>N</v>
      </c>
    </row>
    <row r="450" spans="1:10">
      <c r="A450" t="str">
        <f>"LE-010-27109"</f>
        <v>LE-010-27109</v>
      </c>
      <c r="B450" t="str">
        <f>"ACT"</f>
        <v>ACT</v>
      </c>
      <c r="C450" t="str">
        <f>"33"</f>
        <v>33</v>
      </c>
      <c r="D450" t="str">
        <f t="shared" si="125"/>
        <v>N/A</v>
      </c>
      <c r="E450" t="str">
        <f>"CML-1100275"</f>
        <v>CML-1100275</v>
      </c>
      <c r="F450" t="str">
        <f t="shared" si="126"/>
        <v>CM-500</v>
      </c>
      <c r="G450" t="str">
        <f t="shared" si="127"/>
        <v>ESD CONSTANT MONITOR</v>
      </c>
      <c r="H450" t="str">
        <f>"jcastaneda"</f>
        <v>jcastaneda</v>
      </c>
      <c r="I450" t="str">
        <f t="shared" si="128"/>
        <v>058</v>
      </c>
      <c r="J450" t="str">
        <f t="shared" si="114"/>
        <v>N</v>
      </c>
    </row>
    <row r="451" spans="1:10">
      <c r="A451" t="str">
        <f>"LE-010-27064"</f>
        <v>LE-010-27064</v>
      </c>
      <c r="B451" t="str">
        <f>"INACT"</f>
        <v>INACT</v>
      </c>
      <c r="C451" t="str">
        <f>"20"</f>
        <v>20</v>
      </c>
      <c r="D451" t="str">
        <f t="shared" si="125"/>
        <v>N/A</v>
      </c>
      <c r="E451" t="str">
        <f>"CML-1100004"</f>
        <v>CML-1100004</v>
      </c>
      <c r="F451" t="str">
        <f t="shared" si="126"/>
        <v>CM-500</v>
      </c>
      <c r="G451" t="str">
        <f t="shared" si="127"/>
        <v>ESD CONSTANT MONITOR</v>
      </c>
      <c r="H451" t="str">
        <f>"avazquez"</f>
        <v>avazquez</v>
      </c>
      <c r="I451" t="str">
        <f t="shared" si="128"/>
        <v>058</v>
      </c>
      <c r="J451" t="str">
        <f t="shared" si="114"/>
        <v>N</v>
      </c>
    </row>
    <row r="452" spans="1:10">
      <c r="A452" t="str">
        <f>"LE-010-27212"</f>
        <v>LE-010-27212</v>
      </c>
      <c r="B452" t="str">
        <f>"INACT"</f>
        <v>INACT</v>
      </c>
      <c r="C452" t="str">
        <f>"19"</f>
        <v>19</v>
      </c>
      <c r="D452" t="str">
        <f t="shared" si="125"/>
        <v>N/A</v>
      </c>
      <c r="E452" t="str">
        <f>"CML-1100180"</f>
        <v>CML-1100180</v>
      </c>
      <c r="F452" t="str">
        <f t="shared" si="126"/>
        <v>CM-500</v>
      </c>
      <c r="G452" t="str">
        <f t="shared" si="127"/>
        <v>ESD CONSTANT MONITOR</v>
      </c>
      <c r="H452" t="str">
        <f>"zfernandez"</f>
        <v>zfernandez</v>
      </c>
      <c r="I452" t="str">
        <f t="shared" si="128"/>
        <v>058</v>
      </c>
      <c r="J452" t="str">
        <f t="shared" si="114"/>
        <v>N</v>
      </c>
    </row>
    <row r="453" spans="1:10">
      <c r="A453" t="str">
        <f>"LE-010-27002"</f>
        <v>LE-010-27002</v>
      </c>
      <c r="B453" t="str">
        <f>"INACT"</f>
        <v>INACT</v>
      </c>
      <c r="C453" t="str">
        <f>"30"</f>
        <v>30</v>
      </c>
      <c r="D453" t="str">
        <f t="shared" si="125"/>
        <v>N/A</v>
      </c>
      <c r="E453" t="str">
        <f>"CML-1100062"</f>
        <v>CML-1100062</v>
      </c>
      <c r="F453" t="str">
        <f t="shared" si="126"/>
        <v>CM-500</v>
      </c>
      <c r="G453" t="str">
        <f t="shared" si="127"/>
        <v>ESD CONSTANT MONITOR</v>
      </c>
      <c r="H453" t="str">
        <f>"gbejar"</f>
        <v>gbejar</v>
      </c>
      <c r="I453" t="str">
        <f t="shared" si="128"/>
        <v>058</v>
      </c>
      <c r="J453" t="str">
        <f t="shared" si="114"/>
        <v>N</v>
      </c>
    </row>
    <row r="454" spans="1:10">
      <c r="A454" t="str">
        <f>"LE-010-26578"</f>
        <v>LE-010-26578</v>
      </c>
      <c r="B454" t="str">
        <f t="shared" ref="B454:B459" si="129">"ACT"</f>
        <v>ACT</v>
      </c>
      <c r="C454" t="str">
        <f>"30"</f>
        <v>30</v>
      </c>
      <c r="D454" t="str">
        <f t="shared" si="125"/>
        <v>N/A</v>
      </c>
      <c r="E454" t="str">
        <f>"CML-1100015"</f>
        <v>CML-1100015</v>
      </c>
      <c r="F454" t="str">
        <f t="shared" si="126"/>
        <v>CM-500</v>
      </c>
      <c r="G454" t="str">
        <f t="shared" si="127"/>
        <v>ESD CONSTANT MONITOR</v>
      </c>
      <c r="H454" t="str">
        <f>"gbejar"</f>
        <v>gbejar</v>
      </c>
      <c r="I454" t="str">
        <f t="shared" si="128"/>
        <v>058</v>
      </c>
      <c r="J454" t="str">
        <f t="shared" si="114"/>
        <v>N</v>
      </c>
    </row>
    <row r="455" spans="1:10">
      <c r="A455" t="str">
        <f>"LE-010-27057"</f>
        <v>LE-010-27057</v>
      </c>
      <c r="B455" t="str">
        <f t="shared" si="129"/>
        <v>ACT</v>
      </c>
      <c r="C455" t="str">
        <f>"08"</f>
        <v>08</v>
      </c>
      <c r="D455" t="str">
        <f t="shared" si="125"/>
        <v>N/A</v>
      </c>
      <c r="E455" t="str">
        <f>"CML-1100033"</f>
        <v>CML-1100033</v>
      </c>
      <c r="F455" t="str">
        <f t="shared" si="126"/>
        <v>CM-500</v>
      </c>
      <c r="G455" t="str">
        <f t="shared" si="127"/>
        <v>ESD CONSTANT MONITOR</v>
      </c>
      <c r="H455" t="str">
        <f>"avazquez"</f>
        <v>avazquez</v>
      </c>
      <c r="I455" t="str">
        <f t="shared" si="128"/>
        <v>058</v>
      </c>
      <c r="J455" t="str">
        <f t="shared" ref="J455:J518" si="130">"N"</f>
        <v>N</v>
      </c>
    </row>
    <row r="456" spans="1:10">
      <c r="A456" t="str">
        <f>"LE-010-27076"</f>
        <v>LE-010-27076</v>
      </c>
      <c r="B456" t="str">
        <f t="shared" si="129"/>
        <v>ACT</v>
      </c>
      <c r="C456" t="str">
        <f>"08"</f>
        <v>08</v>
      </c>
      <c r="D456" t="str">
        <f t="shared" si="125"/>
        <v>N/A</v>
      </c>
      <c r="E456" t="str">
        <f>"CML-1100148"</f>
        <v>CML-1100148</v>
      </c>
      <c r="F456" t="str">
        <f t="shared" si="126"/>
        <v>CM-500</v>
      </c>
      <c r="G456" t="str">
        <f t="shared" si="127"/>
        <v>ESD CONSTANT MONITOR</v>
      </c>
      <c r="H456" t="str">
        <f>"avazquez"</f>
        <v>avazquez</v>
      </c>
      <c r="I456" t="str">
        <f t="shared" si="128"/>
        <v>058</v>
      </c>
      <c r="J456" t="str">
        <f t="shared" si="130"/>
        <v>N</v>
      </c>
    </row>
    <row r="457" spans="1:10">
      <c r="A457" t="str">
        <f>"LE-010-27038"</f>
        <v>LE-010-27038</v>
      </c>
      <c r="B457" t="str">
        <f t="shared" si="129"/>
        <v>ACT</v>
      </c>
      <c r="C457" t="str">
        <f>"08"</f>
        <v>08</v>
      </c>
      <c r="D457" t="str">
        <f t="shared" si="125"/>
        <v>N/A</v>
      </c>
      <c r="E457" t="str">
        <f>"CML-1100220"</f>
        <v>CML-1100220</v>
      </c>
      <c r="F457" t="str">
        <f t="shared" si="126"/>
        <v>CM-500</v>
      </c>
      <c r="G457" t="str">
        <f t="shared" si="127"/>
        <v>ESD CONSTANT MONITOR</v>
      </c>
      <c r="H457" t="str">
        <f>"avazquez"</f>
        <v>avazquez</v>
      </c>
      <c r="I457" t="str">
        <f t="shared" si="128"/>
        <v>058</v>
      </c>
      <c r="J457" t="str">
        <f t="shared" si="130"/>
        <v>N</v>
      </c>
    </row>
    <row r="458" spans="1:10">
      <c r="A458" t="str">
        <f>"LE-010-27084"</f>
        <v>LE-010-27084</v>
      </c>
      <c r="B458" t="str">
        <f t="shared" si="129"/>
        <v>ACT</v>
      </c>
      <c r="C458" t="str">
        <f>"08"</f>
        <v>08</v>
      </c>
      <c r="D458" t="str">
        <f t="shared" si="125"/>
        <v>N/A</v>
      </c>
      <c r="E458" t="str">
        <f>"CML-1100134"</f>
        <v>CML-1100134</v>
      </c>
      <c r="F458" t="str">
        <f t="shared" si="126"/>
        <v>CM-500</v>
      </c>
      <c r="G458" t="str">
        <f t="shared" si="127"/>
        <v>ESD CONSTANT MONITOR</v>
      </c>
      <c r="H458" t="str">
        <f>"avazquez"</f>
        <v>avazquez</v>
      </c>
      <c r="I458" t="str">
        <f t="shared" si="128"/>
        <v>058</v>
      </c>
      <c r="J458" t="str">
        <f t="shared" si="130"/>
        <v>N</v>
      </c>
    </row>
    <row r="459" spans="1:10">
      <c r="A459" t="str">
        <f>"LE-010-27056"</f>
        <v>LE-010-27056</v>
      </c>
      <c r="B459" t="str">
        <f t="shared" si="129"/>
        <v>ACT</v>
      </c>
      <c r="C459" t="str">
        <f>"08"</f>
        <v>08</v>
      </c>
      <c r="D459" t="str">
        <f t="shared" si="125"/>
        <v>N/A</v>
      </c>
      <c r="E459" t="str">
        <f>"CML-1100032"</f>
        <v>CML-1100032</v>
      </c>
      <c r="F459" t="str">
        <f t="shared" si="126"/>
        <v>CM-500</v>
      </c>
      <c r="G459" t="str">
        <f t="shared" si="127"/>
        <v>ESD CONSTANT MONITOR</v>
      </c>
      <c r="H459" t="str">
        <f>"avazquez"</f>
        <v>avazquez</v>
      </c>
      <c r="I459" t="str">
        <f t="shared" si="128"/>
        <v>058</v>
      </c>
      <c r="J459" t="str">
        <f t="shared" si="130"/>
        <v>N</v>
      </c>
    </row>
    <row r="460" spans="1:10">
      <c r="A460" t="str">
        <f>"LE-010-27052"</f>
        <v>LE-010-27052</v>
      </c>
      <c r="B460" t="str">
        <f>"INACT"</f>
        <v>INACT</v>
      </c>
      <c r="C460" t="str">
        <f>"19"</f>
        <v>19</v>
      </c>
      <c r="D460" t="str">
        <f t="shared" si="125"/>
        <v>N/A</v>
      </c>
      <c r="E460" t="str">
        <f>"CML-1100028"</f>
        <v>CML-1100028</v>
      </c>
      <c r="F460" t="str">
        <f t="shared" si="126"/>
        <v>CM-500</v>
      </c>
      <c r="G460" t="str">
        <f t="shared" si="127"/>
        <v>ESD CONSTANT MONITOR</v>
      </c>
      <c r="H460" t="str">
        <f>"zfernandez"</f>
        <v>zfernandez</v>
      </c>
      <c r="I460" t="str">
        <f t="shared" si="128"/>
        <v>058</v>
      </c>
      <c r="J460" t="str">
        <f t="shared" si="130"/>
        <v>N</v>
      </c>
    </row>
    <row r="461" spans="1:10">
      <c r="A461" t="str">
        <f>"LE-010-28378"</f>
        <v>LE-010-28378</v>
      </c>
      <c r="B461" t="str">
        <f>"ACT"</f>
        <v>ACT</v>
      </c>
      <c r="C461" t="str">
        <f>"08"</f>
        <v>08</v>
      </c>
      <c r="D461" t="str">
        <f t="shared" si="125"/>
        <v>N/A</v>
      </c>
      <c r="E461" t="str">
        <f>"CML-1100165"</f>
        <v>CML-1100165</v>
      </c>
      <c r="F461" t="str">
        <f t="shared" si="126"/>
        <v>CM-500</v>
      </c>
      <c r="G461" t="str">
        <f t="shared" si="127"/>
        <v>ESD CONSTANT MONITOR</v>
      </c>
      <c r="H461" t="str">
        <f>"avazquez"</f>
        <v>avazquez</v>
      </c>
      <c r="I461" t="str">
        <f t="shared" si="128"/>
        <v>058</v>
      </c>
      <c r="J461" t="str">
        <f t="shared" si="130"/>
        <v>N</v>
      </c>
    </row>
    <row r="462" spans="1:10">
      <c r="A462" t="str">
        <f>"LE-010-27028"</f>
        <v>LE-010-27028</v>
      </c>
      <c r="B462" t="str">
        <f>"INACT"</f>
        <v>INACT</v>
      </c>
      <c r="C462" t="str">
        <f>"19"</f>
        <v>19</v>
      </c>
      <c r="D462" t="str">
        <f t="shared" si="125"/>
        <v>N/A</v>
      </c>
      <c r="E462" t="str">
        <f>"CML-1100210"</f>
        <v>CML-1100210</v>
      </c>
      <c r="F462" t="str">
        <f t="shared" si="126"/>
        <v>CM-500</v>
      </c>
      <c r="G462" t="str">
        <f t="shared" si="127"/>
        <v>ESD CONSTANT MONITOR</v>
      </c>
      <c r="H462" t="str">
        <f>"zfernandez"</f>
        <v>zfernandez</v>
      </c>
      <c r="I462" t="str">
        <f t="shared" si="128"/>
        <v>058</v>
      </c>
      <c r="J462" t="str">
        <f t="shared" si="130"/>
        <v>N</v>
      </c>
    </row>
    <row r="463" spans="1:10">
      <c r="A463" t="str">
        <f>"LE-010-26607"</f>
        <v>LE-010-26607</v>
      </c>
      <c r="B463" t="str">
        <f>"INACT"</f>
        <v>INACT</v>
      </c>
      <c r="C463" t="str">
        <f>"30"</f>
        <v>30</v>
      </c>
      <c r="D463" t="str">
        <f t="shared" si="125"/>
        <v>N/A</v>
      </c>
      <c r="E463" t="str">
        <f>"CML-1100089"</f>
        <v>CML-1100089</v>
      </c>
      <c r="F463" t="str">
        <f t="shared" si="126"/>
        <v>CM-500</v>
      </c>
      <c r="G463" t="str">
        <f t="shared" si="127"/>
        <v>ESD CONSTANT MONITOR</v>
      </c>
      <c r="H463" t="str">
        <f>"gbejar"</f>
        <v>gbejar</v>
      </c>
      <c r="I463" t="str">
        <f t="shared" si="128"/>
        <v>058</v>
      </c>
      <c r="J463" t="str">
        <f t="shared" si="130"/>
        <v>N</v>
      </c>
    </row>
    <row r="464" spans="1:10">
      <c r="A464" t="str">
        <f>"LE-010-27050"</f>
        <v>LE-010-27050</v>
      </c>
      <c r="B464" t="str">
        <f>"ACT"</f>
        <v>ACT</v>
      </c>
      <c r="C464" t="str">
        <f>"08"</f>
        <v>08</v>
      </c>
      <c r="D464" t="str">
        <f t="shared" si="125"/>
        <v>N/A</v>
      </c>
      <c r="E464" t="str">
        <f>"CML-1100026"</f>
        <v>CML-1100026</v>
      </c>
      <c r="F464" t="str">
        <f t="shared" si="126"/>
        <v>CM-500</v>
      </c>
      <c r="G464" t="str">
        <f t="shared" si="127"/>
        <v>ESD CONSTANT MONITOR</v>
      </c>
      <c r="H464" t="str">
        <f>"avazquez"</f>
        <v>avazquez</v>
      </c>
      <c r="I464" t="str">
        <f t="shared" si="128"/>
        <v>058</v>
      </c>
      <c r="J464" t="str">
        <f t="shared" si="130"/>
        <v>N</v>
      </c>
    </row>
    <row r="465" spans="1:10">
      <c r="A465" t="str">
        <f>"LE-010-27042"</f>
        <v>LE-010-27042</v>
      </c>
      <c r="B465" t="str">
        <f>"ACT"</f>
        <v>ACT</v>
      </c>
      <c r="C465" t="str">
        <f>"08"</f>
        <v>08</v>
      </c>
      <c r="D465" t="str">
        <f t="shared" si="125"/>
        <v>N/A</v>
      </c>
      <c r="E465" t="str">
        <f>"CML-1100224"</f>
        <v>CML-1100224</v>
      </c>
      <c r="F465" t="str">
        <f t="shared" si="126"/>
        <v>CM-500</v>
      </c>
      <c r="G465" t="str">
        <f t="shared" si="127"/>
        <v>ESD CONSTANT MONITOR</v>
      </c>
      <c r="H465" t="str">
        <f>"avazquez"</f>
        <v>avazquez</v>
      </c>
      <c r="I465" t="str">
        <f t="shared" si="128"/>
        <v>058</v>
      </c>
      <c r="J465" t="str">
        <f t="shared" si="130"/>
        <v>N</v>
      </c>
    </row>
    <row r="466" spans="1:10">
      <c r="A466" t="str">
        <f>"LE-010-27140"</f>
        <v>LE-010-27140</v>
      </c>
      <c r="B466" t="str">
        <f>"ACT"</f>
        <v>ACT</v>
      </c>
      <c r="C466" t="str">
        <f>"08"</f>
        <v>08</v>
      </c>
      <c r="D466" t="str">
        <f t="shared" si="125"/>
        <v>N/A</v>
      </c>
      <c r="E466" t="str">
        <f>"CML-1100252"</f>
        <v>CML-1100252</v>
      </c>
      <c r="F466" t="str">
        <f t="shared" si="126"/>
        <v>CM-500</v>
      </c>
      <c r="G466" t="str">
        <f t="shared" si="127"/>
        <v>ESD CONSTANT MONITOR</v>
      </c>
      <c r="H466" t="str">
        <f>"avazquez"</f>
        <v>avazquez</v>
      </c>
      <c r="I466" t="str">
        <f t="shared" si="128"/>
        <v>058</v>
      </c>
      <c r="J466" t="str">
        <f t="shared" si="130"/>
        <v>N</v>
      </c>
    </row>
    <row r="467" spans="1:10">
      <c r="A467" t="str">
        <f>"LE-010-27210"</f>
        <v>LE-010-27210</v>
      </c>
      <c r="B467" t="str">
        <f>"INACT"</f>
        <v>INACT</v>
      </c>
      <c r="C467" t="str">
        <f>"19"</f>
        <v>19</v>
      </c>
      <c r="D467" t="str">
        <f t="shared" si="125"/>
        <v>N/A</v>
      </c>
      <c r="E467" t="str">
        <f>"CML-1100178"</f>
        <v>CML-1100178</v>
      </c>
      <c r="F467" t="str">
        <f t="shared" si="126"/>
        <v>CM-500</v>
      </c>
      <c r="G467" t="str">
        <f t="shared" si="127"/>
        <v>ESD CONSTANT MONITOR</v>
      </c>
      <c r="H467" t="str">
        <f>"avazquez"</f>
        <v>avazquez</v>
      </c>
      <c r="I467" t="str">
        <f t="shared" si="128"/>
        <v>058</v>
      </c>
      <c r="J467" t="str">
        <f t="shared" si="130"/>
        <v>N</v>
      </c>
    </row>
    <row r="468" spans="1:10">
      <c r="A468" t="str">
        <f>"LE-010-27024"</f>
        <v>LE-010-27024</v>
      </c>
      <c r="B468" t="str">
        <f>"INACT"</f>
        <v>INACT</v>
      </c>
      <c r="C468" t="str">
        <f>"19"</f>
        <v>19</v>
      </c>
      <c r="D468" t="str">
        <f t="shared" si="125"/>
        <v>N/A</v>
      </c>
      <c r="E468" t="str">
        <f>"CML-1100170"</f>
        <v>CML-1100170</v>
      </c>
      <c r="F468" t="str">
        <f t="shared" si="126"/>
        <v>CM-500</v>
      </c>
      <c r="G468" t="str">
        <f t="shared" si="127"/>
        <v>ESD CONSTANT MONITOR</v>
      </c>
      <c r="H468" t="str">
        <f>"zfernandez"</f>
        <v>zfernandez</v>
      </c>
      <c r="I468" t="str">
        <f t="shared" si="128"/>
        <v>058</v>
      </c>
      <c r="J468" t="str">
        <f t="shared" si="130"/>
        <v>N</v>
      </c>
    </row>
    <row r="469" spans="1:10">
      <c r="A469" t="str">
        <f>"LE-010-28374"</f>
        <v>LE-010-28374</v>
      </c>
      <c r="B469" t="str">
        <f>"INACT"</f>
        <v>INACT</v>
      </c>
      <c r="C469" t="str">
        <f>"19"</f>
        <v>19</v>
      </c>
      <c r="D469" t="str">
        <f t="shared" si="125"/>
        <v>N/A</v>
      </c>
      <c r="E469" t="str">
        <f>"CML-1100161"</f>
        <v>CML-1100161</v>
      </c>
      <c r="F469" t="str">
        <f t="shared" si="126"/>
        <v>CM-500</v>
      </c>
      <c r="G469" t="str">
        <f t="shared" si="127"/>
        <v>ESD CONSTANT MONITOR</v>
      </c>
      <c r="H469" t="str">
        <f>"zfernandez"</f>
        <v>zfernandez</v>
      </c>
      <c r="I469" t="str">
        <f t="shared" si="128"/>
        <v>058</v>
      </c>
      <c r="J469" t="str">
        <f t="shared" si="130"/>
        <v>N</v>
      </c>
    </row>
    <row r="470" spans="1:10">
      <c r="A470" t="str">
        <f>"LE-010-27054"</f>
        <v>LE-010-27054</v>
      </c>
      <c r="B470" t="str">
        <f>"INACT"</f>
        <v>INACT</v>
      </c>
      <c r="C470" t="str">
        <f>"30"</f>
        <v>30</v>
      </c>
      <c r="D470" t="str">
        <f t="shared" si="125"/>
        <v>N/A</v>
      </c>
      <c r="E470" t="str">
        <f>"CML-1100030"</f>
        <v>CML-1100030</v>
      </c>
      <c r="F470" t="str">
        <f t="shared" si="126"/>
        <v>CM-500</v>
      </c>
      <c r="G470" t="str">
        <f t="shared" si="127"/>
        <v>ESD CONSTANT MONITOR</v>
      </c>
      <c r="H470" t="str">
        <f>"gbejar"</f>
        <v>gbejar</v>
      </c>
      <c r="I470" t="str">
        <f t="shared" si="128"/>
        <v>058</v>
      </c>
      <c r="J470" t="str">
        <f t="shared" si="130"/>
        <v>N</v>
      </c>
    </row>
    <row r="471" spans="1:10">
      <c r="A471" t="str">
        <f>"LE-010-27058"</f>
        <v>LE-010-27058</v>
      </c>
      <c r="B471" t="str">
        <f>"INACT"</f>
        <v>INACT</v>
      </c>
      <c r="C471" t="str">
        <f>"19"</f>
        <v>19</v>
      </c>
      <c r="D471" t="str">
        <f t="shared" si="125"/>
        <v>N/A</v>
      </c>
      <c r="E471" t="str">
        <f>"CML-1100034"</f>
        <v>CML-1100034</v>
      </c>
      <c r="F471" t="str">
        <f t="shared" si="126"/>
        <v>CM-500</v>
      </c>
      <c r="G471" t="str">
        <f t="shared" si="127"/>
        <v>ESD CONSTANT MONITOR</v>
      </c>
      <c r="H471" t="str">
        <f>"zfernandez"</f>
        <v>zfernandez</v>
      </c>
      <c r="I471" t="str">
        <f t="shared" si="128"/>
        <v>058</v>
      </c>
      <c r="J471" t="str">
        <f t="shared" si="130"/>
        <v>N</v>
      </c>
    </row>
    <row r="472" spans="1:10">
      <c r="A472" t="str">
        <f>"0347UR00"</f>
        <v>0347UR00</v>
      </c>
      <c r="B472" t="str">
        <f>"ACT"</f>
        <v>ACT</v>
      </c>
      <c r="C472" t="str">
        <f>"08"</f>
        <v>08</v>
      </c>
      <c r="D472" t="str">
        <f t="shared" si="125"/>
        <v>N/A</v>
      </c>
      <c r="E472" t="str">
        <f>"CML-1100198"</f>
        <v>CML-1100198</v>
      </c>
      <c r="F472" t="str">
        <f t="shared" si="126"/>
        <v>CM-500</v>
      </c>
      <c r="G472" t="str">
        <f t="shared" si="127"/>
        <v>ESD CONSTANT MONITOR</v>
      </c>
      <c r="H472" t="str">
        <f>"avazquez"</f>
        <v>avazquez</v>
      </c>
      <c r="I472" t="str">
        <f t="shared" si="128"/>
        <v>058</v>
      </c>
      <c r="J472" t="str">
        <f t="shared" si="130"/>
        <v>N</v>
      </c>
    </row>
    <row r="473" spans="1:10">
      <c r="A473" t="str">
        <f>"0350UR00"</f>
        <v>0350UR00</v>
      </c>
      <c r="B473" t="str">
        <f>"ACT"</f>
        <v>ACT</v>
      </c>
      <c r="C473" t="str">
        <f>"08"</f>
        <v>08</v>
      </c>
      <c r="D473" t="str">
        <f t="shared" si="125"/>
        <v>N/A</v>
      </c>
      <c r="E473" t="str">
        <f>"CML-1100201"</f>
        <v>CML-1100201</v>
      </c>
      <c r="F473" t="str">
        <f t="shared" si="126"/>
        <v>CM-500</v>
      </c>
      <c r="G473" t="str">
        <f t="shared" si="127"/>
        <v>ESD CONSTANT MONITOR</v>
      </c>
      <c r="H473" t="str">
        <f>"avazquez"</f>
        <v>avazquez</v>
      </c>
      <c r="I473" t="str">
        <f t="shared" si="128"/>
        <v>058</v>
      </c>
      <c r="J473" t="str">
        <f t="shared" si="130"/>
        <v>N</v>
      </c>
    </row>
    <row r="474" spans="1:10">
      <c r="A474" t="str">
        <f>"LE-010-27116"</f>
        <v>LE-010-27116</v>
      </c>
      <c r="B474" t="str">
        <f>"ACT"</f>
        <v>ACT</v>
      </c>
      <c r="C474" t="str">
        <f>"36"</f>
        <v>36</v>
      </c>
      <c r="D474" t="str">
        <f t="shared" si="125"/>
        <v>N/A</v>
      </c>
      <c r="E474" t="str">
        <f>"CML-1100282"</f>
        <v>CML-1100282</v>
      </c>
      <c r="F474" t="str">
        <f t="shared" si="126"/>
        <v>CM-500</v>
      </c>
      <c r="G474" t="str">
        <f t="shared" si="127"/>
        <v>ESD CONSTANT MONITOR</v>
      </c>
      <c r="H474" t="str">
        <f>"zfernandez"</f>
        <v>zfernandez</v>
      </c>
      <c r="I474" t="str">
        <f t="shared" si="128"/>
        <v>058</v>
      </c>
      <c r="J474" t="str">
        <f t="shared" si="130"/>
        <v>N</v>
      </c>
    </row>
    <row r="475" spans="1:10">
      <c r="A475" t="str">
        <f>"LE-010-26994"</f>
        <v>LE-010-26994</v>
      </c>
      <c r="B475" t="str">
        <f>"ACT"</f>
        <v>ACT</v>
      </c>
      <c r="C475" t="str">
        <f>"30"</f>
        <v>30</v>
      </c>
      <c r="D475" t="str">
        <f t="shared" si="125"/>
        <v>N/A</v>
      </c>
      <c r="E475" t="str">
        <f>"CML-1100268"</f>
        <v>CML-1100268</v>
      </c>
      <c r="F475" t="str">
        <f t="shared" si="126"/>
        <v>CM-500</v>
      </c>
      <c r="G475" t="str">
        <f t="shared" si="127"/>
        <v>ESD CONSTANT MONITOR</v>
      </c>
      <c r="H475" t="str">
        <f>"zfernandez"</f>
        <v>zfernandez</v>
      </c>
      <c r="I475" t="str">
        <f t="shared" si="128"/>
        <v>058</v>
      </c>
      <c r="J475" t="str">
        <f t="shared" si="130"/>
        <v>N</v>
      </c>
    </row>
    <row r="476" spans="1:10">
      <c r="A476" t="str">
        <f>"0347UR01"</f>
        <v>0347UR01</v>
      </c>
      <c r="B476" t="str">
        <f>"ACT"</f>
        <v>ACT</v>
      </c>
      <c r="C476" t="str">
        <f>"08"</f>
        <v>08</v>
      </c>
      <c r="D476" t="str">
        <f t="shared" si="125"/>
        <v>N/A</v>
      </c>
      <c r="E476" t="str">
        <f>"CML-1100202"</f>
        <v>CML-1100202</v>
      </c>
      <c r="F476" t="str">
        <f t="shared" si="126"/>
        <v>CM-500</v>
      </c>
      <c r="G476" t="str">
        <f t="shared" si="127"/>
        <v>ESD CONSTANT MONITOR</v>
      </c>
      <c r="H476" t="str">
        <f>"avazquez"</f>
        <v>avazquez</v>
      </c>
      <c r="I476" t="str">
        <f t="shared" si="128"/>
        <v>058</v>
      </c>
      <c r="J476" t="str">
        <f t="shared" si="130"/>
        <v>N</v>
      </c>
    </row>
    <row r="477" spans="1:10">
      <c r="A477" t="str">
        <f>"LE-010-26609"</f>
        <v>LE-010-26609</v>
      </c>
      <c r="B477" t="str">
        <f>"INACT"</f>
        <v>INACT</v>
      </c>
      <c r="C477" t="str">
        <f>"18"</f>
        <v>18</v>
      </c>
      <c r="D477" t="str">
        <f t="shared" si="125"/>
        <v>N/A</v>
      </c>
      <c r="E477" t="str">
        <f>"CML-1100091"</f>
        <v>CML-1100091</v>
      </c>
      <c r="F477" t="str">
        <f t="shared" si="126"/>
        <v>CM-500</v>
      </c>
      <c r="G477" t="str">
        <f t="shared" si="127"/>
        <v>ESD CONSTANT MONITOR</v>
      </c>
      <c r="H477" t="str">
        <f>"avazquez"</f>
        <v>avazquez</v>
      </c>
      <c r="I477" t="str">
        <f t="shared" si="128"/>
        <v>058</v>
      </c>
      <c r="J477" t="str">
        <f t="shared" si="130"/>
        <v>N</v>
      </c>
    </row>
    <row r="478" spans="1:10">
      <c r="A478" t="str">
        <f>"LE-010-26933"</f>
        <v>LE-010-26933</v>
      </c>
      <c r="B478" t="str">
        <f>"INACT"</f>
        <v>INACT</v>
      </c>
      <c r="C478" t="str">
        <f>"18"</f>
        <v>18</v>
      </c>
      <c r="D478" t="str">
        <f t="shared" si="125"/>
        <v>N/A</v>
      </c>
      <c r="E478" t="str">
        <f>"CML-1100263"</f>
        <v>CML-1100263</v>
      </c>
      <c r="F478" t="str">
        <f t="shared" si="126"/>
        <v>CM-500</v>
      </c>
      <c r="G478" t="str">
        <f t="shared" si="127"/>
        <v>ESD CONSTANT MONITOR</v>
      </c>
      <c r="H478" t="str">
        <f>"avazquez"</f>
        <v>avazquez</v>
      </c>
      <c r="I478" t="str">
        <f t="shared" si="128"/>
        <v>058</v>
      </c>
      <c r="J478" t="str">
        <f t="shared" si="130"/>
        <v>N</v>
      </c>
    </row>
    <row r="479" spans="1:10">
      <c r="A479" t="str">
        <f>"LE-010-26601"</f>
        <v>LE-010-26601</v>
      </c>
      <c r="B479" t="str">
        <f>"INACT"</f>
        <v>INACT</v>
      </c>
      <c r="C479" t="str">
        <f>"19"</f>
        <v>19</v>
      </c>
      <c r="D479" t="str">
        <f t="shared" si="125"/>
        <v>N/A</v>
      </c>
      <c r="E479" t="str">
        <f>"CML-1100083"</f>
        <v>CML-1100083</v>
      </c>
      <c r="F479" t="str">
        <f t="shared" si="126"/>
        <v>CM-500</v>
      </c>
      <c r="G479" t="str">
        <f t="shared" si="127"/>
        <v>ESD CONSTANT MONITOR</v>
      </c>
      <c r="H479" t="str">
        <f>"zfernandez"</f>
        <v>zfernandez</v>
      </c>
      <c r="I479" t="str">
        <f t="shared" si="128"/>
        <v>058</v>
      </c>
      <c r="J479" t="str">
        <f t="shared" si="130"/>
        <v>N</v>
      </c>
    </row>
    <row r="480" spans="1:10">
      <c r="A480" t="str">
        <f>"0322NP01"</f>
        <v>0322NP01</v>
      </c>
      <c r="B480" t="str">
        <f>"INACT"</f>
        <v>INACT</v>
      </c>
      <c r="C480" t="str">
        <f>"19"</f>
        <v>19</v>
      </c>
      <c r="D480" t="str">
        <f t="shared" si="125"/>
        <v>N/A</v>
      </c>
      <c r="E480" t="str">
        <f>"CML-1100187"</f>
        <v>CML-1100187</v>
      </c>
      <c r="F480" t="str">
        <f t="shared" si="126"/>
        <v>CM-500</v>
      </c>
      <c r="G480" t="str">
        <f t="shared" ref="G480:G511" si="131">"ESD CONSTANT MONITOR"</f>
        <v>ESD CONSTANT MONITOR</v>
      </c>
      <c r="H480" t="str">
        <f>"zfernandez"</f>
        <v>zfernandez</v>
      </c>
      <c r="I480" t="str">
        <f t="shared" si="128"/>
        <v>058</v>
      </c>
      <c r="J480" t="str">
        <f t="shared" si="130"/>
        <v>N</v>
      </c>
    </row>
    <row r="481" spans="1:10">
      <c r="A481" t="str">
        <f>"LE-010-26640"</f>
        <v>LE-010-26640</v>
      </c>
      <c r="B481" t="str">
        <f>"INACT"</f>
        <v>INACT</v>
      </c>
      <c r="C481" t="str">
        <f>"30"</f>
        <v>30</v>
      </c>
      <c r="D481" t="str">
        <f t="shared" si="125"/>
        <v>N/A</v>
      </c>
      <c r="E481" t="str">
        <f>"CML-1100125"</f>
        <v>CML-1100125</v>
      </c>
      <c r="F481" t="str">
        <f t="shared" si="126"/>
        <v>CM-500</v>
      </c>
      <c r="G481" t="str">
        <f t="shared" si="131"/>
        <v>ESD CONSTANT MONITOR</v>
      </c>
      <c r="H481" t="str">
        <f>"gbejar"</f>
        <v>gbejar</v>
      </c>
      <c r="I481" t="str">
        <f t="shared" si="128"/>
        <v>058</v>
      </c>
      <c r="J481" t="str">
        <f t="shared" si="130"/>
        <v>N</v>
      </c>
    </row>
    <row r="482" spans="1:10">
      <c r="A482" t="str">
        <f>"0322NT06"</f>
        <v>0322NT06</v>
      </c>
      <c r="B482" t="str">
        <f t="shared" ref="B482:B489" si="132">"ACT"</f>
        <v>ACT</v>
      </c>
      <c r="C482" t="str">
        <f t="shared" ref="C482:C489" si="133">"09"</f>
        <v>09</v>
      </c>
      <c r="D482" t="str">
        <f t="shared" si="125"/>
        <v>N/A</v>
      </c>
      <c r="E482" t="str">
        <f>"CML-1100195"</f>
        <v>CML-1100195</v>
      </c>
      <c r="F482" t="str">
        <f t="shared" si="126"/>
        <v>CM-500</v>
      </c>
      <c r="G482" t="str">
        <f t="shared" si="131"/>
        <v>ESD CONSTANT MONITOR</v>
      </c>
      <c r="H482" t="str">
        <f t="shared" ref="H482:H492" si="134">"avazquez"</f>
        <v>avazquez</v>
      </c>
      <c r="I482" t="str">
        <f t="shared" si="128"/>
        <v>058</v>
      </c>
      <c r="J482" t="str">
        <f t="shared" si="130"/>
        <v>N</v>
      </c>
    </row>
    <row r="483" spans="1:10">
      <c r="A483" t="str">
        <f>"0322NT05"</f>
        <v>0322NT05</v>
      </c>
      <c r="B483" t="str">
        <f t="shared" si="132"/>
        <v>ACT</v>
      </c>
      <c r="C483" t="str">
        <f t="shared" si="133"/>
        <v>09</v>
      </c>
      <c r="D483" t="str">
        <f t="shared" si="125"/>
        <v>N/A</v>
      </c>
      <c r="E483" t="str">
        <f>"CML-1100194"</f>
        <v>CML-1100194</v>
      </c>
      <c r="F483" t="str">
        <f t="shared" si="126"/>
        <v>CM-500</v>
      </c>
      <c r="G483" t="str">
        <f t="shared" si="131"/>
        <v>ESD CONSTANT MONITOR</v>
      </c>
      <c r="H483" t="str">
        <f t="shared" si="134"/>
        <v>avazquez</v>
      </c>
      <c r="I483" t="str">
        <f t="shared" si="128"/>
        <v>058</v>
      </c>
      <c r="J483" t="str">
        <f t="shared" si="130"/>
        <v>N</v>
      </c>
    </row>
    <row r="484" spans="1:10">
      <c r="A484" t="str">
        <f>"0322NT08"</f>
        <v>0322NT08</v>
      </c>
      <c r="B484" t="str">
        <f t="shared" si="132"/>
        <v>ACT</v>
      </c>
      <c r="C484" t="str">
        <f t="shared" si="133"/>
        <v>09</v>
      </c>
      <c r="D484" t="str">
        <f t="shared" si="125"/>
        <v>N/A</v>
      </c>
      <c r="E484" t="str">
        <f>"CML-1100199"</f>
        <v>CML-1100199</v>
      </c>
      <c r="F484" t="str">
        <f t="shared" si="126"/>
        <v>CM-500</v>
      </c>
      <c r="G484" t="str">
        <f t="shared" si="131"/>
        <v>ESD CONSTANT MONITOR</v>
      </c>
      <c r="H484" t="str">
        <f t="shared" si="134"/>
        <v>avazquez</v>
      </c>
      <c r="I484" t="str">
        <f t="shared" si="128"/>
        <v>058</v>
      </c>
      <c r="J484" t="str">
        <f t="shared" si="130"/>
        <v>N</v>
      </c>
    </row>
    <row r="485" spans="1:10">
      <c r="A485" t="str">
        <f>"0322NT01"</f>
        <v>0322NT01</v>
      </c>
      <c r="B485" t="str">
        <f t="shared" si="132"/>
        <v>ACT</v>
      </c>
      <c r="C485" t="str">
        <f t="shared" si="133"/>
        <v>09</v>
      </c>
      <c r="D485" t="str">
        <f t="shared" si="125"/>
        <v>N/A</v>
      </c>
      <c r="E485" t="str">
        <f>"CML-1100196"</f>
        <v>CML-1100196</v>
      </c>
      <c r="F485" t="str">
        <f t="shared" si="126"/>
        <v>CM-500</v>
      </c>
      <c r="G485" t="str">
        <f t="shared" si="131"/>
        <v>ESD CONSTANT MONITOR</v>
      </c>
      <c r="H485" t="str">
        <f t="shared" si="134"/>
        <v>avazquez</v>
      </c>
      <c r="I485" t="str">
        <f t="shared" si="128"/>
        <v>058</v>
      </c>
      <c r="J485" t="str">
        <f t="shared" si="130"/>
        <v>N</v>
      </c>
    </row>
    <row r="486" spans="1:10">
      <c r="A486" t="str">
        <f>"LE-010-26604"</f>
        <v>LE-010-26604</v>
      </c>
      <c r="B486" t="str">
        <f t="shared" si="132"/>
        <v>ACT</v>
      </c>
      <c r="C486" t="str">
        <f t="shared" si="133"/>
        <v>09</v>
      </c>
      <c r="D486" t="str">
        <f t="shared" si="125"/>
        <v>N/A</v>
      </c>
      <c r="E486" t="str">
        <f>"CML-1100086"</f>
        <v>CML-1100086</v>
      </c>
      <c r="F486" t="str">
        <f t="shared" si="126"/>
        <v>CM-500</v>
      </c>
      <c r="G486" t="str">
        <f t="shared" si="131"/>
        <v>ESD CONSTANT MONITOR</v>
      </c>
      <c r="H486" t="str">
        <f t="shared" si="134"/>
        <v>avazquez</v>
      </c>
      <c r="I486" t="str">
        <f t="shared" si="128"/>
        <v>058</v>
      </c>
      <c r="J486" t="str">
        <f t="shared" si="130"/>
        <v>N</v>
      </c>
    </row>
    <row r="487" spans="1:10">
      <c r="A487" t="str">
        <f>"LE-010-26646"</f>
        <v>LE-010-26646</v>
      </c>
      <c r="B487" t="str">
        <f t="shared" si="132"/>
        <v>ACT</v>
      </c>
      <c r="C487" t="str">
        <f t="shared" si="133"/>
        <v>09</v>
      </c>
      <c r="D487" t="str">
        <f t="shared" si="125"/>
        <v>N/A</v>
      </c>
      <c r="E487" t="str">
        <f>"CML-1100131"</f>
        <v>CML-1100131</v>
      </c>
      <c r="F487" t="str">
        <f t="shared" si="126"/>
        <v>CM-500</v>
      </c>
      <c r="G487" t="str">
        <f t="shared" si="131"/>
        <v>ESD CONSTANT MONITOR</v>
      </c>
      <c r="H487" t="str">
        <f t="shared" si="134"/>
        <v>avazquez</v>
      </c>
      <c r="I487" t="str">
        <f t="shared" si="128"/>
        <v>058</v>
      </c>
      <c r="J487" t="str">
        <f t="shared" si="130"/>
        <v>N</v>
      </c>
    </row>
    <row r="488" spans="1:10">
      <c r="A488" t="str">
        <f>"LE-010-26610"</f>
        <v>LE-010-26610</v>
      </c>
      <c r="B488" t="str">
        <f t="shared" si="132"/>
        <v>ACT</v>
      </c>
      <c r="C488" t="str">
        <f t="shared" si="133"/>
        <v>09</v>
      </c>
      <c r="D488" t="str">
        <f t="shared" si="125"/>
        <v>N/A</v>
      </c>
      <c r="E488" t="str">
        <f>"CML-1100092"</f>
        <v>CML-1100092</v>
      </c>
      <c r="F488" t="str">
        <f t="shared" si="126"/>
        <v>CM-500</v>
      </c>
      <c r="G488" t="str">
        <f t="shared" si="131"/>
        <v>ESD CONSTANT MONITOR</v>
      </c>
      <c r="H488" t="str">
        <f t="shared" si="134"/>
        <v>avazquez</v>
      </c>
      <c r="I488" t="str">
        <f t="shared" si="128"/>
        <v>058</v>
      </c>
      <c r="J488" t="str">
        <f t="shared" si="130"/>
        <v>N</v>
      </c>
    </row>
    <row r="489" spans="1:10">
      <c r="A489" t="str">
        <f>"0322NT02"</f>
        <v>0322NT02</v>
      </c>
      <c r="B489" t="str">
        <f t="shared" si="132"/>
        <v>ACT</v>
      </c>
      <c r="C489" t="str">
        <f t="shared" si="133"/>
        <v>09</v>
      </c>
      <c r="D489" t="str">
        <f t="shared" si="125"/>
        <v>N/A</v>
      </c>
      <c r="E489" t="str">
        <f>"CML-1100197"</f>
        <v>CML-1100197</v>
      </c>
      <c r="F489" t="str">
        <f t="shared" si="126"/>
        <v>CM-500</v>
      </c>
      <c r="G489" t="str">
        <f t="shared" si="131"/>
        <v>ESD CONSTANT MONITOR</v>
      </c>
      <c r="H489" t="str">
        <f t="shared" si="134"/>
        <v>avazquez</v>
      </c>
      <c r="I489" t="str">
        <f t="shared" si="128"/>
        <v>058</v>
      </c>
      <c r="J489" t="str">
        <f t="shared" si="130"/>
        <v>N</v>
      </c>
    </row>
    <row r="490" spans="1:10">
      <c r="A490" t="str">
        <f>"LE-010-26941"</f>
        <v>LE-010-26941</v>
      </c>
      <c r="B490" t="str">
        <f>"INACT"</f>
        <v>INACT</v>
      </c>
      <c r="C490" t="str">
        <f>"19"</f>
        <v>19</v>
      </c>
      <c r="D490" t="str">
        <f t="shared" si="125"/>
        <v>N/A</v>
      </c>
      <c r="E490" t="str">
        <f>"CML-1100266"</f>
        <v>CML-1100266</v>
      </c>
      <c r="F490" t="str">
        <f t="shared" si="126"/>
        <v>CM-500</v>
      </c>
      <c r="G490" t="str">
        <f t="shared" si="131"/>
        <v>ESD CONSTANT MONITOR</v>
      </c>
      <c r="H490" t="str">
        <f t="shared" si="134"/>
        <v>avazquez</v>
      </c>
      <c r="I490" t="str">
        <f t="shared" si="128"/>
        <v>058</v>
      </c>
      <c r="J490" t="str">
        <f t="shared" si="130"/>
        <v>N</v>
      </c>
    </row>
    <row r="491" spans="1:10">
      <c r="A491" t="str">
        <f>"0322NT04"</f>
        <v>0322NT04</v>
      </c>
      <c r="B491" t="str">
        <f>"ACT"</f>
        <v>ACT</v>
      </c>
      <c r="C491" t="str">
        <f>"13"</f>
        <v>13</v>
      </c>
      <c r="D491" t="str">
        <f t="shared" si="125"/>
        <v>N/A</v>
      </c>
      <c r="E491" t="str">
        <f>"CML-1100200"</f>
        <v>CML-1100200</v>
      </c>
      <c r="F491" t="str">
        <f t="shared" si="126"/>
        <v>CM-500</v>
      </c>
      <c r="G491" t="str">
        <f t="shared" si="131"/>
        <v>ESD CONSTANT MONITOR</v>
      </c>
      <c r="H491" t="str">
        <f t="shared" si="134"/>
        <v>avazquez</v>
      </c>
      <c r="I491" t="str">
        <f t="shared" si="128"/>
        <v>058</v>
      </c>
      <c r="J491" t="str">
        <f t="shared" si="130"/>
        <v>N</v>
      </c>
    </row>
    <row r="492" spans="1:10">
      <c r="A492" t="str">
        <f>"LE-010-27025"</f>
        <v>LE-010-27025</v>
      </c>
      <c r="B492" t="str">
        <f>"ACT"</f>
        <v>ACT</v>
      </c>
      <c r="C492" t="str">
        <f>"09"</f>
        <v>09</v>
      </c>
      <c r="D492" t="str">
        <f t="shared" si="125"/>
        <v>N/A</v>
      </c>
      <c r="E492" t="str">
        <f>"CML-1100207"</f>
        <v>CML-1100207</v>
      </c>
      <c r="F492" t="str">
        <f t="shared" si="126"/>
        <v>CM-500</v>
      </c>
      <c r="G492" t="str">
        <f t="shared" si="131"/>
        <v>ESD CONSTANT MONITOR</v>
      </c>
      <c r="H492" t="str">
        <f t="shared" si="134"/>
        <v>avazquez</v>
      </c>
      <c r="I492" t="str">
        <f t="shared" si="128"/>
        <v>058</v>
      </c>
      <c r="J492" t="str">
        <f t="shared" si="130"/>
        <v>N</v>
      </c>
    </row>
    <row r="493" spans="1:10">
      <c r="A493" t="str">
        <f>"LE-010-26538"</f>
        <v>LE-010-26538</v>
      </c>
      <c r="B493" t="str">
        <f>"INACT"</f>
        <v>INACT</v>
      </c>
      <c r="C493" t="str">
        <f>"30"</f>
        <v>30</v>
      </c>
      <c r="D493" t="str">
        <f t="shared" si="125"/>
        <v>N/A</v>
      </c>
      <c r="E493" t="str">
        <f>"CML-1100058"</f>
        <v>CML-1100058</v>
      </c>
      <c r="F493" t="str">
        <f t="shared" si="126"/>
        <v>CM-500</v>
      </c>
      <c r="G493" t="str">
        <f t="shared" si="131"/>
        <v>ESD CONSTANT MONITOR</v>
      </c>
      <c r="H493" t="str">
        <f>"gbejar"</f>
        <v>gbejar</v>
      </c>
      <c r="I493" t="str">
        <f t="shared" si="128"/>
        <v>058</v>
      </c>
      <c r="J493" t="str">
        <f t="shared" si="130"/>
        <v>N</v>
      </c>
    </row>
    <row r="494" spans="1:10">
      <c r="A494" t="str">
        <f>"0322NT00"</f>
        <v>0322NT00</v>
      </c>
      <c r="B494" t="str">
        <f>"ACT"</f>
        <v>ACT</v>
      </c>
      <c r="C494" t="str">
        <f>"09"</f>
        <v>09</v>
      </c>
      <c r="D494" t="str">
        <f t="shared" si="125"/>
        <v>N/A</v>
      </c>
      <c r="E494" t="str">
        <f>"CML-1100192"</f>
        <v>CML-1100192</v>
      </c>
      <c r="F494" t="str">
        <f t="shared" si="126"/>
        <v>CM-500</v>
      </c>
      <c r="G494" t="str">
        <f t="shared" si="131"/>
        <v>ESD CONSTANT MONITOR</v>
      </c>
      <c r="H494" t="str">
        <f>"avazquez"</f>
        <v>avazquez</v>
      </c>
      <c r="I494" t="str">
        <f t="shared" si="128"/>
        <v>058</v>
      </c>
      <c r="J494" t="str">
        <f t="shared" si="130"/>
        <v>N</v>
      </c>
    </row>
    <row r="495" spans="1:10">
      <c r="A495" t="str">
        <f>"0322NT07"</f>
        <v>0322NT07</v>
      </c>
      <c r="B495" t="str">
        <f>"ACT"</f>
        <v>ACT</v>
      </c>
      <c r="C495" t="str">
        <f>"09"</f>
        <v>09</v>
      </c>
      <c r="D495" t="str">
        <f t="shared" si="125"/>
        <v>N/A</v>
      </c>
      <c r="E495" t="str">
        <f>"CML-1100096"</f>
        <v>CML-1100096</v>
      </c>
      <c r="F495" t="str">
        <f t="shared" si="126"/>
        <v>CM-500</v>
      </c>
      <c r="G495" t="str">
        <f t="shared" si="131"/>
        <v>ESD CONSTANT MONITOR</v>
      </c>
      <c r="H495" t="str">
        <f>"jgallo"</f>
        <v>jgallo</v>
      </c>
      <c r="I495" t="str">
        <f t="shared" si="128"/>
        <v>058</v>
      </c>
      <c r="J495" t="str">
        <f t="shared" si="130"/>
        <v>N</v>
      </c>
    </row>
    <row r="496" spans="1:10">
      <c r="A496" t="str">
        <f>"LE-010-26598"</f>
        <v>LE-010-26598</v>
      </c>
      <c r="B496" t="str">
        <f>"ACT"</f>
        <v>ACT</v>
      </c>
      <c r="C496" t="str">
        <f>"36"</f>
        <v>36</v>
      </c>
      <c r="D496" t="str">
        <f t="shared" si="125"/>
        <v>N/A</v>
      </c>
      <c r="E496" t="str">
        <f>"CML-1100080"</f>
        <v>CML-1100080</v>
      </c>
      <c r="F496" t="str">
        <f t="shared" si="126"/>
        <v>CM-500</v>
      </c>
      <c r="G496" t="str">
        <f t="shared" si="131"/>
        <v>ESD CONSTANT MONITOR</v>
      </c>
      <c r="H496" t="str">
        <f>"zfernandez"</f>
        <v>zfernandez</v>
      </c>
      <c r="I496" t="str">
        <f t="shared" si="128"/>
        <v>058</v>
      </c>
      <c r="J496" t="str">
        <f t="shared" si="130"/>
        <v>N</v>
      </c>
    </row>
    <row r="497" spans="1:10">
      <c r="A497" t="str">
        <f>"LE-010-26603"</f>
        <v>LE-010-26603</v>
      </c>
      <c r="B497" t="str">
        <f>"ACT"</f>
        <v>ACT</v>
      </c>
      <c r="C497" t="str">
        <f>"27"</f>
        <v>27</v>
      </c>
      <c r="D497" t="str">
        <f t="shared" si="125"/>
        <v>N/A</v>
      </c>
      <c r="E497" t="str">
        <f>"CML-1100085"</f>
        <v>CML-1100085</v>
      </c>
      <c r="F497" t="str">
        <f t="shared" si="126"/>
        <v>CM-500</v>
      </c>
      <c r="G497" t="str">
        <f t="shared" si="131"/>
        <v>ESD CONSTANT MONITOR</v>
      </c>
      <c r="H497" t="str">
        <f>"avazquez"</f>
        <v>avazquez</v>
      </c>
      <c r="I497" t="str">
        <f t="shared" si="128"/>
        <v>058</v>
      </c>
      <c r="J497" t="str">
        <f t="shared" si="130"/>
        <v>N</v>
      </c>
    </row>
    <row r="498" spans="1:10">
      <c r="A498" t="str">
        <f>"LE-010-27026"</f>
        <v>LE-010-27026</v>
      </c>
      <c r="B498" t="str">
        <f>"INACT"</f>
        <v>INACT</v>
      </c>
      <c r="C498" t="str">
        <f>"19"</f>
        <v>19</v>
      </c>
      <c r="D498" t="str">
        <f t="shared" si="125"/>
        <v>N/A</v>
      </c>
      <c r="E498" t="str">
        <f>"CML-1100208"</f>
        <v>CML-1100208</v>
      </c>
      <c r="F498" t="str">
        <f t="shared" si="126"/>
        <v>CM-500</v>
      </c>
      <c r="G498" t="str">
        <f t="shared" si="131"/>
        <v>ESD CONSTANT MONITOR</v>
      </c>
      <c r="H498" t="str">
        <f>"avazquez"</f>
        <v>avazquez</v>
      </c>
      <c r="I498" t="str">
        <f t="shared" si="128"/>
        <v>058</v>
      </c>
      <c r="J498" t="str">
        <f t="shared" si="130"/>
        <v>N</v>
      </c>
    </row>
    <row r="499" spans="1:10">
      <c r="A499" t="str">
        <f>"LE-010-26591"</f>
        <v>LE-010-26591</v>
      </c>
      <c r="B499" t="str">
        <f>"INACT"</f>
        <v>INACT</v>
      </c>
      <c r="C499" t="str">
        <f>"30"</f>
        <v>30</v>
      </c>
      <c r="D499" t="str">
        <f t="shared" si="125"/>
        <v>N/A</v>
      </c>
      <c r="E499" t="str">
        <f>"CML-1100073"</f>
        <v>CML-1100073</v>
      </c>
      <c r="F499" t="str">
        <f t="shared" si="126"/>
        <v>CM-500</v>
      </c>
      <c r="G499" t="str">
        <f t="shared" si="131"/>
        <v>ESD CONSTANT MONITOR</v>
      </c>
      <c r="H499" t="str">
        <f>"gbejar"</f>
        <v>gbejar</v>
      </c>
      <c r="I499" t="str">
        <f t="shared" si="128"/>
        <v>058</v>
      </c>
      <c r="J499" t="str">
        <f t="shared" si="130"/>
        <v>N</v>
      </c>
    </row>
    <row r="500" spans="1:10">
      <c r="A500" t="str">
        <f>"LE-010-26594"</f>
        <v>LE-010-26594</v>
      </c>
      <c r="B500" t="str">
        <f>"INACT"</f>
        <v>INACT</v>
      </c>
      <c r="C500" t="str">
        <f>"19"</f>
        <v>19</v>
      </c>
      <c r="D500" t="str">
        <f t="shared" si="125"/>
        <v>N/A</v>
      </c>
      <c r="E500" t="str">
        <f>"CML-1100076"</f>
        <v>CML-1100076</v>
      </c>
      <c r="F500" t="str">
        <f t="shared" si="126"/>
        <v>CM-500</v>
      </c>
      <c r="G500" t="str">
        <f t="shared" si="131"/>
        <v>ESD CONSTANT MONITOR</v>
      </c>
      <c r="H500" t="str">
        <f>"zfernandez"</f>
        <v>zfernandez</v>
      </c>
      <c r="I500" t="str">
        <f t="shared" si="128"/>
        <v>058</v>
      </c>
      <c r="J500" t="str">
        <f t="shared" si="130"/>
        <v>N</v>
      </c>
    </row>
    <row r="501" spans="1:10">
      <c r="A501" t="str">
        <f>"LE-010-26645"</f>
        <v>LE-010-26645</v>
      </c>
      <c r="B501" t="str">
        <f>"INACT"</f>
        <v>INACT</v>
      </c>
      <c r="C501" t="str">
        <f>"19"</f>
        <v>19</v>
      </c>
      <c r="D501" t="str">
        <f t="shared" si="125"/>
        <v>N/A</v>
      </c>
      <c r="E501" t="str">
        <f>"CML-1100130"</f>
        <v>CML-1100130</v>
      </c>
      <c r="F501" t="str">
        <f t="shared" si="126"/>
        <v>CM-500</v>
      </c>
      <c r="G501" t="str">
        <f t="shared" si="131"/>
        <v>ESD CONSTANT MONITOR</v>
      </c>
      <c r="H501" t="str">
        <f>"avazquez"</f>
        <v>avazquez</v>
      </c>
      <c r="I501" t="str">
        <f t="shared" si="128"/>
        <v>058</v>
      </c>
      <c r="J501" t="str">
        <f t="shared" si="130"/>
        <v>N</v>
      </c>
    </row>
    <row r="502" spans="1:10">
      <c r="A502" t="str">
        <f>"LE-010-27040"</f>
        <v>LE-010-27040</v>
      </c>
      <c r="B502" t="str">
        <f>"INACT"</f>
        <v>INACT</v>
      </c>
      <c r="C502" t="str">
        <f>"30"</f>
        <v>30</v>
      </c>
      <c r="D502" t="str">
        <f t="shared" si="125"/>
        <v>N/A</v>
      </c>
      <c r="E502" t="str">
        <f>"CML-1100222"</f>
        <v>CML-1100222</v>
      </c>
      <c r="F502" t="str">
        <f t="shared" si="126"/>
        <v>CM-500</v>
      </c>
      <c r="G502" t="str">
        <f t="shared" si="131"/>
        <v>ESD CONSTANT MONITOR</v>
      </c>
      <c r="H502" t="str">
        <f>"gbejar"</f>
        <v>gbejar</v>
      </c>
      <c r="I502" t="str">
        <f t="shared" si="128"/>
        <v>058</v>
      </c>
      <c r="J502" t="str">
        <f t="shared" si="130"/>
        <v>N</v>
      </c>
    </row>
    <row r="503" spans="1:10">
      <c r="A503" t="str">
        <f>"LE-010-27114"</f>
        <v>LE-010-27114</v>
      </c>
      <c r="B503" t="str">
        <f>"ACT"</f>
        <v>ACT</v>
      </c>
      <c r="C503" t="str">
        <f>"27"</f>
        <v>27</v>
      </c>
      <c r="D503" t="str">
        <f t="shared" si="125"/>
        <v>N/A</v>
      </c>
      <c r="E503" t="str">
        <f>"CML-1100280"</f>
        <v>CML-1100280</v>
      </c>
      <c r="F503" t="str">
        <f t="shared" si="126"/>
        <v>CM-500</v>
      </c>
      <c r="G503" t="str">
        <f t="shared" si="131"/>
        <v>ESD CONSTANT MONITOR</v>
      </c>
      <c r="H503" t="str">
        <f>"avazquez"</f>
        <v>avazquez</v>
      </c>
      <c r="I503" t="str">
        <f t="shared" si="128"/>
        <v>058</v>
      </c>
      <c r="J503" t="str">
        <f t="shared" si="130"/>
        <v>N</v>
      </c>
    </row>
    <row r="504" spans="1:10">
      <c r="A504" t="str">
        <f>"LE-010-27104"</f>
        <v>LE-010-27104</v>
      </c>
      <c r="B504" t="str">
        <f>"INACT"</f>
        <v>INACT</v>
      </c>
      <c r="C504" t="str">
        <f>"19"</f>
        <v>19</v>
      </c>
      <c r="D504" t="str">
        <f t="shared" si="125"/>
        <v>N/A</v>
      </c>
      <c r="E504" t="str">
        <f>"CML-1100038"</f>
        <v>CML-1100038</v>
      </c>
      <c r="F504" t="str">
        <f t="shared" si="126"/>
        <v>CM-500</v>
      </c>
      <c r="G504" t="str">
        <f t="shared" si="131"/>
        <v>ESD CONSTANT MONITOR</v>
      </c>
      <c r="H504" t="str">
        <f>"zfernandez"</f>
        <v>zfernandez</v>
      </c>
      <c r="I504" t="str">
        <f t="shared" si="128"/>
        <v>058</v>
      </c>
      <c r="J504" t="str">
        <f t="shared" si="130"/>
        <v>N</v>
      </c>
    </row>
    <row r="505" spans="1:10">
      <c r="A505" t="str">
        <f>"LE-010-27001"</f>
        <v>LE-010-27001</v>
      </c>
      <c r="B505" t="str">
        <f>"INACT"</f>
        <v>INACT</v>
      </c>
      <c r="C505" t="str">
        <f>"19"</f>
        <v>19</v>
      </c>
      <c r="D505" t="str">
        <f t="shared" si="125"/>
        <v>N/A</v>
      </c>
      <c r="E505" t="str">
        <f>"CML-1100061"</f>
        <v>CML-1100061</v>
      </c>
      <c r="F505" t="str">
        <f t="shared" si="126"/>
        <v>CM-500</v>
      </c>
      <c r="G505" t="str">
        <f t="shared" si="131"/>
        <v>ESD CONSTANT MONITOR</v>
      </c>
      <c r="H505" t="str">
        <f>"avazquez"</f>
        <v>avazquez</v>
      </c>
      <c r="I505" t="str">
        <f t="shared" si="128"/>
        <v>058</v>
      </c>
      <c r="J505" t="str">
        <f t="shared" si="130"/>
        <v>N</v>
      </c>
    </row>
    <row r="506" spans="1:10">
      <c r="A506" t="str">
        <f>"LE-010-27137"</f>
        <v>LE-010-27137</v>
      </c>
      <c r="B506" t="str">
        <f>"ACT"</f>
        <v>ACT</v>
      </c>
      <c r="C506" t="str">
        <f>"27"</f>
        <v>27</v>
      </c>
      <c r="D506" t="str">
        <f t="shared" si="125"/>
        <v>N/A</v>
      </c>
      <c r="E506" t="str">
        <f>"CML-1100237"</f>
        <v>CML-1100237</v>
      </c>
      <c r="F506" t="str">
        <f t="shared" si="126"/>
        <v>CM-500</v>
      </c>
      <c r="G506" t="str">
        <f t="shared" si="131"/>
        <v>ESD CONSTANT MONITOR</v>
      </c>
      <c r="H506" t="str">
        <f>"avazquez"</f>
        <v>avazquez</v>
      </c>
      <c r="I506" t="str">
        <f t="shared" si="128"/>
        <v>058</v>
      </c>
      <c r="J506" t="str">
        <f t="shared" si="130"/>
        <v>N</v>
      </c>
    </row>
    <row r="507" spans="1:10">
      <c r="A507" t="str">
        <f>"LE-010-27131"</f>
        <v>LE-010-27131</v>
      </c>
      <c r="B507" t="str">
        <f>"ACT"</f>
        <v>ACT</v>
      </c>
      <c r="C507" t="str">
        <f>"09"</f>
        <v>09</v>
      </c>
      <c r="D507" t="str">
        <f t="shared" si="125"/>
        <v>N/A</v>
      </c>
      <c r="E507" t="str">
        <f>"CML-1100231"</f>
        <v>CML-1100231</v>
      </c>
      <c r="F507" t="str">
        <f t="shared" si="126"/>
        <v>CM-500</v>
      </c>
      <c r="G507" t="str">
        <f t="shared" si="131"/>
        <v>ESD CONSTANT MONITOR</v>
      </c>
      <c r="H507" t="str">
        <f>"hcharles"</f>
        <v>hcharles</v>
      </c>
      <c r="I507" t="str">
        <f t="shared" si="128"/>
        <v>058</v>
      </c>
      <c r="J507" t="str">
        <f t="shared" si="130"/>
        <v>N</v>
      </c>
    </row>
    <row r="508" spans="1:10">
      <c r="A508" t="str">
        <f>"LE-010-27036"</f>
        <v>LE-010-27036</v>
      </c>
      <c r="B508" t="str">
        <f>"ACT"</f>
        <v>ACT</v>
      </c>
      <c r="C508" t="str">
        <f>"09"</f>
        <v>09</v>
      </c>
      <c r="D508" t="str">
        <f t="shared" si="125"/>
        <v>N/A</v>
      </c>
      <c r="E508" t="str">
        <f>"CML-1100218"</f>
        <v>CML-1100218</v>
      </c>
      <c r="F508" t="str">
        <f t="shared" si="126"/>
        <v>CM-500</v>
      </c>
      <c r="G508" t="str">
        <f t="shared" si="131"/>
        <v>ESD CONSTANT MONITOR</v>
      </c>
      <c r="H508" t="str">
        <f>"zfernandez"</f>
        <v>zfernandez</v>
      </c>
      <c r="I508" t="str">
        <f t="shared" si="128"/>
        <v>058</v>
      </c>
      <c r="J508" t="str">
        <f t="shared" si="130"/>
        <v>N</v>
      </c>
    </row>
    <row r="509" spans="1:10">
      <c r="A509" t="str">
        <f>"LE-010-27053"</f>
        <v>LE-010-27053</v>
      </c>
      <c r="B509" t="str">
        <f>"INACT"</f>
        <v>INACT</v>
      </c>
      <c r="C509" t="str">
        <f>"10"</f>
        <v>10</v>
      </c>
      <c r="D509" t="str">
        <f t="shared" si="125"/>
        <v>N/A</v>
      </c>
      <c r="E509" t="str">
        <f>"CML-1100029"</f>
        <v>CML-1100029</v>
      </c>
      <c r="F509" t="str">
        <f t="shared" si="126"/>
        <v>CM-500</v>
      </c>
      <c r="G509" t="str">
        <f t="shared" si="131"/>
        <v>ESD CONSTANT MONITOR</v>
      </c>
      <c r="H509" t="str">
        <f>"avazquez"</f>
        <v>avazquez</v>
      </c>
      <c r="I509" t="str">
        <f t="shared" si="128"/>
        <v>058</v>
      </c>
      <c r="J509" t="str">
        <f t="shared" si="130"/>
        <v>N</v>
      </c>
    </row>
    <row r="510" spans="1:10">
      <c r="A510" t="str">
        <f>"LE-010-27041"</f>
        <v>LE-010-27041</v>
      </c>
      <c r="B510" t="str">
        <f>"INACT"</f>
        <v>INACT</v>
      </c>
      <c r="C510" t="str">
        <f>"10"</f>
        <v>10</v>
      </c>
      <c r="D510" t="str">
        <f t="shared" si="125"/>
        <v>N/A</v>
      </c>
      <c r="E510" t="str">
        <f>"CML-1100223"</f>
        <v>CML-1100223</v>
      </c>
      <c r="F510" t="str">
        <f t="shared" si="126"/>
        <v>CM-500</v>
      </c>
      <c r="G510" t="str">
        <f t="shared" si="131"/>
        <v>ESD CONSTANT MONITOR</v>
      </c>
      <c r="H510" t="str">
        <f>"avazquez"</f>
        <v>avazquez</v>
      </c>
      <c r="I510" t="str">
        <f t="shared" si="128"/>
        <v>058</v>
      </c>
      <c r="J510" t="str">
        <f t="shared" si="130"/>
        <v>N</v>
      </c>
    </row>
    <row r="511" spans="1:10">
      <c r="A511" t="str">
        <f>"LE-010-26602"</f>
        <v>LE-010-26602</v>
      </c>
      <c r="B511" t="str">
        <f>"ACT"</f>
        <v>ACT</v>
      </c>
      <c r="C511" t="str">
        <f>"17"</f>
        <v>17</v>
      </c>
      <c r="D511" t="str">
        <f t="shared" si="125"/>
        <v>N/A</v>
      </c>
      <c r="E511" t="str">
        <f>"CML-1100084"</f>
        <v>CML-1100084</v>
      </c>
      <c r="F511" t="str">
        <f t="shared" si="126"/>
        <v>CM-500</v>
      </c>
      <c r="G511" t="str">
        <f t="shared" si="131"/>
        <v>ESD CONSTANT MONITOR</v>
      </c>
      <c r="H511" t="str">
        <f>"vvazquez"</f>
        <v>vvazquez</v>
      </c>
      <c r="I511" t="str">
        <f t="shared" si="128"/>
        <v>058</v>
      </c>
      <c r="J511" t="str">
        <f t="shared" si="130"/>
        <v>N</v>
      </c>
    </row>
    <row r="512" spans="1:10">
      <c r="A512" t="str">
        <f>"LE-010-27139"</f>
        <v>LE-010-27139</v>
      </c>
      <c r="B512" t="str">
        <f>"ACT"</f>
        <v>ACT</v>
      </c>
      <c r="C512" t="str">
        <f>"09"</f>
        <v>09</v>
      </c>
      <c r="D512" t="str">
        <f t="shared" ref="D512:D575" si="135">"N/A"</f>
        <v>N/A</v>
      </c>
      <c r="E512" t="str">
        <f>"CML-1100251"</f>
        <v>CML-1100251</v>
      </c>
      <c r="F512" t="str">
        <f t="shared" ref="F512:F575" si="136">"CM-500"</f>
        <v>CM-500</v>
      </c>
      <c r="G512" t="str">
        <f t="shared" ref="G512:G526" si="137">"ESD CONSTANT MONITOR"</f>
        <v>ESD CONSTANT MONITOR</v>
      </c>
      <c r="H512" t="str">
        <f>"zfernandez"</f>
        <v>zfernandez</v>
      </c>
      <c r="I512" t="str">
        <f t="shared" ref="I512:I575" si="138">"058"</f>
        <v>058</v>
      </c>
      <c r="J512" t="str">
        <f t="shared" si="130"/>
        <v>N</v>
      </c>
    </row>
    <row r="513" spans="1:10">
      <c r="A513" t="str">
        <f>"LE-010-26600"</f>
        <v>LE-010-26600</v>
      </c>
      <c r="B513" t="str">
        <f>"INACT"</f>
        <v>INACT</v>
      </c>
      <c r="C513" t="str">
        <f>"30"</f>
        <v>30</v>
      </c>
      <c r="D513" t="str">
        <f t="shared" si="135"/>
        <v>N/A</v>
      </c>
      <c r="E513" t="str">
        <f>"CML-1100082"</f>
        <v>CML-1100082</v>
      </c>
      <c r="F513" t="str">
        <f t="shared" si="136"/>
        <v>CM-500</v>
      </c>
      <c r="G513" t="str">
        <f t="shared" si="137"/>
        <v>ESD CONSTANT MONITOR</v>
      </c>
      <c r="H513" t="str">
        <f>"gbejar"</f>
        <v>gbejar</v>
      </c>
      <c r="I513" t="str">
        <f t="shared" si="138"/>
        <v>058</v>
      </c>
      <c r="J513" t="str">
        <f t="shared" si="130"/>
        <v>N</v>
      </c>
    </row>
    <row r="514" spans="1:10">
      <c r="A514" t="str">
        <f>"0344SB00"</f>
        <v>0344SB00</v>
      </c>
      <c r="B514" t="str">
        <f>"INACT"</f>
        <v>INACT</v>
      </c>
      <c r="C514" t="str">
        <f>"19"</f>
        <v>19</v>
      </c>
      <c r="D514" t="str">
        <f t="shared" si="135"/>
        <v>N/A</v>
      </c>
      <c r="E514" t="str">
        <f>"CML-1100003"</f>
        <v>CML-1100003</v>
      </c>
      <c r="F514" t="str">
        <f t="shared" si="136"/>
        <v>CM-500</v>
      </c>
      <c r="G514" t="str">
        <f t="shared" si="137"/>
        <v>ESD CONSTANT MONITOR</v>
      </c>
      <c r="H514" t="str">
        <f>"avazquez"</f>
        <v>avazquez</v>
      </c>
      <c r="I514" t="str">
        <f t="shared" si="138"/>
        <v>058</v>
      </c>
      <c r="J514" t="str">
        <f t="shared" si="130"/>
        <v>N</v>
      </c>
    </row>
    <row r="515" spans="1:10">
      <c r="A515" t="str">
        <f>"0322MD05"</f>
        <v>0322MD05</v>
      </c>
      <c r="B515" t="str">
        <f>"INACT"</f>
        <v>INACT</v>
      </c>
      <c r="C515" t="str">
        <f>"19"</f>
        <v>19</v>
      </c>
      <c r="D515" t="str">
        <f t="shared" si="135"/>
        <v>N/A</v>
      </c>
      <c r="E515" t="str">
        <f>"CML-1100117"</f>
        <v>CML-1100117</v>
      </c>
      <c r="F515" t="str">
        <f t="shared" si="136"/>
        <v>CM-500</v>
      </c>
      <c r="G515" t="str">
        <f t="shared" si="137"/>
        <v>ESD CONSTANT MONITOR</v>
      </c>
      <c r="H515" t="str">
        <f>"zfernandez"</f>
        <v>zfernandez</v>
      </c>
      <c r="I515" t="str">
        <f t="shared" si="138"/>
        <v>058</v>
      </c>
      <c r="J515" t="str">
        <f t="shared" si="130"/>
        <v>N</v>
      </c>
    </row>
    <row r="516" spans="1:10">
      <c r="A516" t="str">
        <f>"0311NT00"</f>
        <v>0311NT00</v>
      </c>
      <c r="B516" t="str">
        <f>"INACT"</f>
        <v>INACT</v>
      </c>
      <c r="C516" t="str">
        <f>"19"</f>
        <v>19</v>
      </c>
      <c r="D516" t="str">
        <f t="shared" si="135"/>
        <v>N/A</v>
      </c>
      <c r="E516" t="str">
        <f>"CML-1100189"</f>
        <v>CML-1100189</v>
      </c>
      <c r="F516" t="str">
        <f t="shared" si="136"/>
        <v>CM-500</v>
      </c>
      <c r="G516" t="str">
        <f t="shared" si="137"/>
        <v>ESD CONSTANT MONITOR</v>
      </c>
      <c r="H516" t="str">
        <f>"zfernandez"</f>
        <v>zfernandez</v>
      </c>
      <c r="I516" t="str">
        <f t="shared" si="138"/>
        <v>058</v>
      </c>
      <c r="J516" t="str">
        <f t="shared" si="130"/>
        <v>N</v>
      </c>
    </row>
    <row r="517" spans="1:10">
      <c r="A517" t="str">
        <f>"LE-010-26574"</f>
        <v>LE-010-26574</v>
      </c>
      <c r="B517" t="str">
        <f>"INACT"</f>
        <v>INACT</v>
      </c>
      <c r="C517" t="str">
        <f>"30"</f>
        <v>30</v>
      </c>
      <c r="D517" t="str">
        <f t="shared" si="135"/>
        <v>N/A</v>
      </c>
      <c r="E517" t="str">
        <f>"CML-1100119"</f>
        <v>CML-1100119</v>
      </c>
      <c r="F517" t="str">
        <f t="shared" si="136"/>
        <v>CM-500</v>
      </c>
      <c r="G517" t="str">
        <f t="shared" si="137"/>
        <v>ESD CONSTANT MONITOR</v>
      </c>
      <c r="H517" t="str">
        <f>"gbejar"</f>
        <v>gbejar</v>
      </c>
      <c r="I517" t="str">
        <f t="shared" si="138"/>
        <v>058</v>
      </c>
      <c r="J517" t="str">
        <f t="shared" si="130"/>
        <v>N</v>
      </c>
    </row>
    <row r="518" spans="1:10">
      <c r="A518" t="str">
        <f>"LE-010-27065"</f>
        <v>LE-010-27065</v>
      </c>
      <c r="B518" t="str">
        <f>"ACT"</f>
        <v>ACT</v>
      </c>
      <c r="C518" t="str">
        <f>"09"</f>
        <v>09</v>
      </c>
      <c r="D518" t="str">
        <f t="shared" si="135"/>
        <v>N/A</v>
      </c>
      <c r="E518" t="str">
        <f>"CML-1100005"</f>
        <v>CML-1100005</v>
      </c>
      <c r="F518" t="str">
        <f t="shared" si="136"/>
        <v>CM-500</v>
      </c>
      <c r="G518" t="str">
        <f t="shared" si="137"/>
        <v>ESD CONSTANT MONITOR</v>
      </c>
      <c r="H518" t="str">
        <f>"hcharles"</f>
        <v>hcharles</v>
      </c>
      <c r="I518" t="str">
        <f t="shared" si="138"/>
        <v>058</v>
      </c>
      <c r="J518" t="str">
        <f t="shared" si="130"/>
        <v>N</v>
      </c>
    </row>
    <row r="519" spans="1:10">
      <c r="A519" t="str">
        <f>"LE-010-27127"</f>
        <v>LE-010-27127</v>
      </c>
      <c r="B519" t="str">
        <f>"INACT"</f>
        <v>INACT</v>
      </c>
      <c r="C519" t="str">
        <f>"17"</f>
        <v>17</v>
      </c>
      <c r="D519" t="str">
        <f t="shared" si="135"/>
        <v>N/A</v>
      </c>
      <c r="E519" t="str">
        <f>"CML-1100227"</f>
        <v>CML-1100227</v>
      </c>
      <c r="F519" t="str">
        <f t="shared" si="136"/>
        <v>CM-500</v>
      </c>
      <c r="G519" t="str">
        <f t="shared" si="137"/>
        <v>ESD CONSTANT MONITOR</v>
      </c>
      <c r="H519" t="str">
        <f>"avazquez"</f>
        <v>avazquez</v>
      </c>
      <c r="I519" t="str">
        <f t="shared" si="138"/>
        <v>058</v>
      </c>
      <c r="J519" t="str">
        <f t="shared" ref="J519:J582" si="139">"N"</f>
        <v>N</v>
      </c>
    </row>
    <row r="520" spans="1:10">
      <c r="A520" t="str">
        <f>"LE-010-26993"</f>
        <v>LE-010-26993</v>
      </c>
      <c r="B520" t="str">
        <f>"ACT"</f>
        <v>ACT</v>
      </c>
      <c r="C520" t="str">
        <f>"09"</f>
        <v>09</v>
      </c>
      <c r="D520" t="str">
        <f t="shared" si="135"/>
        <v>N/A</v>
      </c>
      <c r="E520" t="str">
        <f>"CML-1100267"</f>
        <v>CML-1100267</v>
      </c>
      <c r="F520" t="str">
        <f t="shared" si="136"/>
        <v>CM-500</v>
      </c>
      <c r="G520" t="str">
        <f t="shared" si="137"/>
        <v>ESD CONSTANT MONITOR</v>
      </c>
      <c r="H520" t="str">
        <f>"hcharles"</f>
        <v>hcharles</v>
      </c>
      <c r="I520" t="str">
        <f t="shared" si="138"/>
        <v>058</v>
      </c>
      <c r="J520" t="str">
        <f t="shared" si="139"/>
        <v>N</v>
      </c>
    </row>
    <row r="521" spans="1:10">
      <c r="A521" t="str">
        <f>"0322MD03"</f>
        <v>0322MD03</v>
      </c>
      <c r="B521" t="str">
        <f>"INACT"</f>
        <v>INACT</v>
      </c>
      <c r="C521" t="str">
        <f>"19"</f>
        <v>19</v>
      </c>
      <c r="D521" t="str">
        <f t="shared" si="135"/>
        <v>N/A</v>
      </c>
      <c r="E521" t="str">
        <f>"CML-1100141"</f>
        <v>CML-1100141</v>
      </c>
      <c r="F521" t="str">
        <f t="shared" si="136"/>
        <v>CM-500</v>
      </c>
      <c r="G521" t="str">
        <f t="shared" si="137"/>
        <v>ESD CONSTANT MONITOR</v>
      </c>
      <c r="H521" t="str">
        <f>"zfernandez"</f>
        <v>zfernandez</v>
      </c>
      <c r="I521" t="str">
        <f t="shared" si="138"/>
        <v>058</v>
      </c>
      <c r="J521" t="str">
        <f t="shared" si="139"/>
        <v>N</v>
      </c>
    </row>
    <row r="522" spans="1:10">
      <c r="A522" t="str">
        <f>"LE-010-28377"</f>
        <v>LE-010-28377</v>
      </c>
      <c r="B522" t="str">
        <f>"ACT"</f>
        <v>ACT</v>
      </c>
      <c r="C522" t="str">
        <f>"31"</f>
        <v>31</v>
      </c>
      <c r="D522" t="str">
        <f t="shared" si="135"/>
        <v>N/A</v>
      </c>
      <c r="E522" t="str">
        <f>"CML-0000000"</f>
        <v>CML-0000000</v>
      </c>
      <c r="F522" t="str">
        <f t="shared" si="136"/>
        <v>CM-500</v>
      </c>
      <c r="G522" t="str">
        <f t="shared" si="137"/>
        <v>ESD CONSTANT MONITOR</v>
      </c>
      <c r="H522" t="str">
        <f>"jhernandez"</f>
        <v>jhernandez</v>
      </c>
      <c r="I522" t="str">
        <f t="shared" si="138"/>
        <v>058</v>
      </c>
      <c r="J522" t="str">
        <f t="shared" si="139"/>
        <v>N</v>
      </c>
    </row>
    <row r="523" spans="1:10">
      <c r="A523" t="str">
        <f>"LE-010-27066"</f>
        <v>LE-010-27066</v>
      </c>
      <c r="B523" t="str">
        <f>"INACT"</f>
        <v>INACT</v>
      </c>
      <c r="C523" t="str">
        <f>"30"</f>
        <v>30</v>
      </c>
      <c r="D523" t="str">
        <f t="shared" si="135"/>
        <v>N/A</v>
      </c>
      <c r="E523" t="str">
        <f>"CML-0000000"</f>
        <v>CML-0000000</v>
      </c>
      <c r="F523" t="str">
        <f t="shared" si="136"/>
        <v>CM-500</v>
      </c>
      <c r="G523" t="str">
        <f t="shared" si="137"/>
        <v>ESD CONSTANT MONITOR</v>
      </c>
      <c r="H523" t="str">
        <f>"gbejar"</f>
        <v>gbejar</v>
      </c>
      <c r="I523" t="str">
        <f t="shared" si="138"/>
        <v>058</v>
      </c>
      <c r="J523" t="str">
        <f t="shared" si="139"/>
        <v>N</v>
      </c>
    </row>
    <row r="524" spans="1:10">
      <c r="A524" t="str">
        <f>"LE-010-26606"</f>
        <v>LE-010-26606</v>
      </c>
      <c r="B524" t="str">
        <f>"ACT "</f>
        <v xml:space="preserve">ACT </v>
      </c>
      <c r="C524" t="str">
        <f>"11"</f>
        <v>11</v>
      </c>
      <c r="D524" t="str">
        <f t="shared" si="135"/>
        <v>N/A</v>
      </c>
      <c r="E524" t="str">
        <f>"CML-0000000"</f>
        <v>CML-0000000</v>
      </c>
      <c r="F524" t="str">
        <f t="shared" si="136"/>
        <v>CM-500</v>
      </c>
      <c r="G524" t="str">
        <f t="shared" si="137"/>
        <v>ESD CONSTANT MONITOR</v>
      </c>
      <c r="H524" t="str">
        <f>"avazquez"</f>
        <v>avazquez</v>
      </c>
      <c r="I524" t="str">
        <f t="shared" si="138"/>
        <v>058</v>
      </c>
      <c r="J524" t="str">
        <f t="shared" si="139"/>
        <v>N</v>
      </c>
    </row>
    <row r="525" spans="1:10">
      <c r="A525" t="str">
        <f>"LE-010-26579"</f>
        <v>LE-010-26579</v>
      </c>
      <c r="B525" t="str">
        <f>"ACT"</f>
        <v>ACT</v>
      </c>
      <c r="C525" t="str">
        <f>"09"</f>
        <v>09</v>
      </c>
      <c r="D525" t="str">
        <f t="shared" si="135"/>
        <v>N/A</v>
      </c>
      <c r="E525" t="str">
        <f>"CML-0000000"</f>
        <v>CML-0000000</v>
      </c>
      <c r="F525" t="str">
        <f t="shared" si="136"/>
        <v>CM-500</v>
      </c>
      <c r="G525" t="str">
        <f t="shared" si="137"/>
        <v>ESD CONSTANT MONITOR</v>
      </c>
      <c r="H525" t="str">
        <f>"hcharles"</f>
        <v>hcharles</v>
      </c>
      <c r="I525" t="str">
        <f t="shared" si="138"/>
        <v>058</v>
      </c>
      <c r="J525" t="str">
        <f t="shared" si="139"/>
        <v>N</v>
      </c>
    </row>
    <row r="526" spans="1:10">
      <c r="A526" t="str">
        <f>"LE-010-26997"</f>
        <v>LE-010-26997</v>
      </c>
      <c r="B526" t="str">
        <f>"ACT"</f>
        <v>ACT</v>
      </c>
      <c r="C526" t="str">
        <f>"09"</f>
        <v>09</v>
      </c>
      <c r="D526" t="str">
        <f t="shared" si="135"/>
        <v>N/A</v>
      </c>
      <c r="E526" t="str">
        <f>"CML-1100271"</f>
        <v>CML-1100271</v>
      </c>
      <c r="F526" t="str">
        <f t="shared" si="136"/>
        <v>CM-500</v>
      </c>
      <c r="G526" t="str">
        <f t="shared" si="137"/>
        <v>ESD CONSTANT MONITOR</v>
      </c>
      <c r="H526" t="str">
        <f>"avazquez"</f>
        <v>avazquez</v>
      </c>
      <c r="I526" t="str">
        <f t="shared" si="138"/>
        <v>058</v>
      </c>
      <c r="J526" t="str">
        <f t="shared" si="139"/>
        <v>N</v>
      </c>
    </row>
    <row r="527" spans="1:10">
      <c r="A527" t="str">
        <f>"LE-010-26533"</f>
        <v>LE-010-26533</v>
      </c>
      <c r="B527" t="str">
        <f>"ACT"</f>
        <v>ACT</v>
      </c>
      <c r="C527" t="str">
        <f>"30"</f>
        <v>30</v>
      </c>
      <c r="D527" t="str">
        <f t="shared" si="135"/>
        <v>N/A</v>
      </c>
      <c r="E527" t="str">
        <f>"CML-1100053"</f>
        <v>CML-1100053</v>
      </c>
      <c r="F527" t="str">
        <f t="shared" si="136"/>
        <v>CM-500</v>
      </c>
      <c r="G527" t="str">
        <f>"ESD CONSTANT MONITOR  ITLA- PRUEBAS"</f>
        <v>ESD CONSTANT MONITOR  ITLA- PRUEBAS</v>
      </c>
      <c r="H527" t="str">
        <f>"zfernandez"</f>
        <v>zfernandez</v>
      </c>
      <c r="I527" t="str">
        <f t="shared" si="138"/>
        <v>058</v>
      </c>
      <c r="J527" t="str">
        <f t="shared" si="139"/>
        <v>N</v>
      </c>
    </row>
    <row r="528" spans="1:10">
      <c r="A528" t="str">
        <f>"LE-010-27136"</f>
        <v>LE-010-27136</v>
      </c>
      <c r="B528" t="str">
        <f>"ACT"</f>
        <v>ACT</v>
      </c>
      <c r="C528" t="str">
        <f>"09"</f>
        <v>09</v>
      </c>
      <c r="D528" t="str">
        <f t="shared" si="135"/>
        <v>N/A</v>
      </c>
      <c r="E528" t="str">
        <f>"CML-1100236"</f>
        <v>CML-1100236</v>
      </c>
      <c r="F528" t="str">
        <f t="shared" si="136"/>
        <v>CM-500</v>
      </c>
      <c r="G528" t="str">
        <f>"ESD CONSTANT MONITOR"</f>
        <v>ESD CONSTANT MONITOR</v>
      </c>
      <c r="H528" t="str">
        <f>"avazquez"</f>
        <v>avazquez</v>
      </c>
      <c r="I528" t="str">
        <f t="shared" si="138"/>
        <v>058</v>
      </c>
      <c r="J528" t="str">
        <f t="shared" si="139"/>
        <v>N</v>
      </c>
    </row>
    <row r="529" spans="1:10">
      <c r="A529" t="str">
        <f>"LE-010-26935"</f>
        <v>LE-010-26935</v>
      </c>
      <c r="B529" t="str">
        <f>"ACT"</f>
        <v>ACT</v>
      </c>
      <c r="C529" t="str">
        <f>"09"</f>
        <v>09</v>
      </c>
      <c r="D529" t="str">
        <f t="shared" si="135"/>
        <v>N/A</v>
      </c>
      <c r="E529" t="str">
        <f>"CML-1100265"</f>
        <v>CML-1100265</v>
      </c>
      <c r="F529" t="str">
        <f t="shared" si="136"/>
        <v>CM-500</v>
      </c>
      <c r="G529" t="str">
        <f>"ESD CONSTANT MONITOR   PRUEBAS 1608"</f>
        <v>ESD CONSTANT MONITOR   PRUEBAS 1608</v>
      </c>
      <c r="H529" t="str">
        <f>"hcharles"</f>
        <v>hcharles</v>
      </c>
      <c r="I529" t="str">
        <f t="shared" si="138"/>
        <v>058</v>
      </c>
      <c r="J529" t="str">
        <f t="shared" si="139"/>
        <v>N</v>
      </c>
    </row>
    <row r="530" spans="1:10">
      <c r="A530" t="str">
        <f>"LE-010-27153"</f>
        <v>LE-010-27153</v>
      </c>
      <c r="B530" t="str">
        <f>"INACT"</f>
        <v>INACT</v>
      </c>
      <c r="C530" t="str">
        <f>"30"</f>
        <v>30</v>
      </c>
      <c r="D530" t="str">
        <f t="shared" si="135"/>
        <v>N/A</v>
      </c>
      <c r="E530" t="str">
        <f>"CML-1100205"</f>
        <v>CML-1100205</v>
      </c>
      <c r="F530" t="str">
        <f t="shared" si="136"/>
        <v>CM-500</v>
      </c>
      <c r="G530" t="str">
        <f t="shared" ref="G530:G535" si="140">"ESD CONSTANT MONITOR"</f>
        <v>ESD CONSTANT MONITOR</v>
      </c>
      <c r="H530" t="str">
        <f>"gbejar"</f>
        <v>gbejar</v>
      </c>
      <c r="I530" t="str">
        <f t="shared" si="138"/>
        <v>058</v>
      </c>
      <c r="J530" t="str">
        <f t="shared" si="139"/>
        <v>N</v>
      </c>
    </row>
    <row r="531" spans="1:10">
      <c r="A531" t="str">
        <f>"LE-010-26633"</f>
        <v>LE-010-26633</v>
      </c>
      <c r="B531" t="str">
        <f>"INACT"</f>
        <v>INACT</v>
      </c>
      <c r="C531" t="str">
        <f>"30"</f>
        <v>30</v>
      </c>
      <c r="D531" t="str">
        <f t="shared" si="135"/>
        <v>N/A</v>
      </c>
      <c r="E531" t="str">
        <f>"CML-1100112"</f>
        <v>CML-1100112</v>
      </c>
      <c r="F531" t="str">
        <f t="shared" si="136"/>
        <v>CM-500</v>
      </c>
      <c r="G531" t="str">
        <f t="shared" si="140"/>
        <v>ESD CONSTANT MONITOR</v>
      </c>
      <c r="H531" t="str">
        <f>"gbejar"</f>
        <v>gbejar</v>
      </c>
      <c r="I531" t="str">
        <f t="shared" si="138"/>
        <v>058</v>
      </c>
      <c r="J531" t="str">
        <f t="shared" si="139"/>
        <v>N</v>
      </c>
    </row>
    <row r="532" spans="1:10">
      <c r="A532" t="str">
        <f>"0322MD02"</f>
        <v>0322MD02</v>
      </c>
      <c r="B532" t="str">
        <f>"ACT"</f>
        <v>ACT</v>
      </c>
      <c r="C532" t="str">
        <f>"09"</f>
        <v>09</v>
      </c>
      <c r="D532" t="str">
        <f t="shared" si="135"/>
        <v>N/A</v>
      </c>
      <c r="E532" t="str">
        <f>"CML-1100120"</f>
        <v>CML-1100120</v>
      </c>
      <c r="F532" t="str">
        <f t="shared" si="136"/>
        <v>CM-500</v>
      </c>
      <c r="G532" t="str">
        <f t="shared" si="140"/>
        <v>ESD CONSTANT MONITOR</v>
      </c>
      <c r="H532" t="str">
        <f>"mvazquez"</f>
        <v>mvazquez</v>
      </c>
      <c r="I532" t="str">
        <f t="shared" si="138"/>
        <v>058</v>
      </c>
      <c r="J532" t="str">
        <f t="shared" si="139"/>
        <v>N</v>
      </c>
    </row>
    <row r="533" spans="1:10">
      <c r="A533" t="str">
        <f>"LE-010-27009"</f>
        <v>LE-010-27009</v>
      </c>
      <c r="B533" t="str">
        <f>"INACT"</f>
        <v>INACT</v>
      </c>
      <c r="C533" t="str">
        <f>"19"</f>
        <v>19</v>
      </c>
      <c r="D533" t="str">
        <f t="shared" si="135"/>
        <v>N/A</v>
      </c>
      <c r="E533" t="str">
        <f>"CML-1100069"</f>
        <v>CML-1100069</v>
      </c>
      <c r="F533" t="str">
        <f t="shared" si="136"/>
        <v>CM-500</v>
      </c>
      <c r="G533" t="str">
        <f t="shared" si="140"/>
        <v>ESD CONSTANT MONITOR</v>
      </c>
      <c r="H533" t="str">
        <f>"avazquez"</f>
        <v>avazquez</v>
      </c>
      <c r="I533" t="str">
        <f t="shared" si="138"/>
        <v>058</v>
      </c>
      <c r="J533" t="str">
        <f t="shared" si="139"/>
        <v>N</v>
      </c>
    </row>
    <row r="534" spans="1:10">
      <c r="A534" t="str">
        <f>"0322MD01"</f>
        <v>0322MD01</v>
      </c>
      <c r="B534" t="str">
        <f>"ACT"</f>
        <v>ACT</v>
      </c>
      <c r="C534" t="str">
        <f>"30"</f>
        <v>30</v>
      </c>
      <c r="D534" t="str">
        <f t="shared" si="135"/>
        <v>N/A</v>
      </c>
      <c r="E534" t="str">
        <f>"CML-1100151"</f>
        <v>CML-1100151</v>
      </c>
      <c r="F534" t="str">
        <f t="shared" si="136"/>
        <v>CM-500</v>
      </c>
      <c r="G534" t="str">
        <f t="shared" si="140"/>
        <v>ESD CONSTANT MONITOR</v>
      </c>
      <c r="H534" t="str">
        <f>"zfernandez"</f>
        <v>zfernandez</v>
      </c>
      <c r="I534" t="str">
        <f t="shared" si="138"/>
        <v>058</v>
      </c>
      <c r="J534" t="str">
        <f t="shared" si="139"/>
        <v>N</v>
      </c>
    </row>
    <row r="535" spans="1:10">
      <c r="A535" t="str">
        <f>"LE-010-27022"</f>
        <v>LE-010-27022</v>
      </c>
      <c r="B535" t="str">
        <f>"ACT"</f>
        <v>ACT</v>
      </c>
      <c r="C535" t="str">
        <f>"20"</f>
        <v>20</v>
      </c>
      <c r="D535" t="str">
        <f t="shared" si="135"/>
        <v>N/A</v>
      </c>
      <c r="E535" t="str">
        <f>"CML-1100168"</f>
        <v>CML-1100168</v>
      </c>
      <c r="F535" t="str">
        <f t="shared" si="136"/>
        <v>CM-500</v>
      </c>
      <c r="G535" t="str">
        <f t="shared" si="140"/>
        <v>ESD CONSTANT MONITOR</v>
      </c>
      <c r="H535" t="str">
        <f>"avazquez"</f>
        <v>avazquez</v>
      </c>
      <c r="I535" t="str">
        <f t="shared" si="138"/>
        <v>058</v>
      </c>
      <c r="J535" t="str">
        <f t="shared" si="139"/>
        <v>N</v>
      </c>
    </row>
    <row r="536" spans="1:10">
      <c r="A536" t="str">
        <f>"0322MD16"</f>
        <v>0322MD16</v>
      </c>
      <c r="B536" t="str">
        <f>"ACT"</f>
        <v>ACT</v>
      </c>
      <c r="C536" t="str">
        <f>"09"</f>
        <v>09</v>
      </c>
      <c r="D536" t="str">
        <f t="shared" si="135"/>
        <v>N/A</v>
      </c>
      <c r="E536" t="str">
        <f>"CML-1100002"</f>
        <v>CML-1100002</v>
      </c>
      <c r="F536" t="str">
        <f t="shared" si="136"/>
        <v>CM-500</v>
      </c>
      <c r="G536" t="str">
        <f>"ESD CONSTANT MONITOR -LE-010-27069"</f>
        <v>ESD CONSTANT MONITOR -LE-010-27069</v>
      </c>
      <c r="H536" t="str">
        <f>"mvazquez"</f>
        <v>mvazquez</v>
      </c>
      <c r="I536" t="str">
        <f t="shared" si="138"/>
        <v>058</v>
      </c>
      <c r="J536" t="str">
        <f t="shared" si="139"/>
        <v>N</v>
      </c>
    </row>
    <row r="537" spans="1:10">
      <c r="A537" t="str">
        <f>"LE-010-27209"</f>
        <v>LE-010-27209</v>
      </c>
      <c r="B537" t="str">
        <f>"ACT"</f>
        <v>ACT</v>
      </c>
      <c r="C537" t="str">
        <f>"30"</f>
        <v>30</v>
      </c>
      <c r="D537" t="str">
        <f t="shared" si="135"/>
        <v>N/A</v>
      </c>
      <c r="E537" t="str">
        <f>"CML-1100177"</f>
        <v>CML-1100177</v>
      </c>
      <c r="F537" t="str">
        <f t="shared" si="136"/>
        <v>CM-500</v>
      </c>
      <c r="G537" t="str">
        <f>"ESD CONSTANT MONITOR    ITLA- PRUEBAS"</f>
        <v>ESD CONSTANT MONITOR    ITLA- PRUEBAS</v>
      </c>
      <c r="H537" t="str">
        <f>"zfernandez"</f>
        <v>zfernandez</v>
      </c>
      <c r="I537" t="str">
        <f t="shared" si="138"/>
        <v>058</v>
      </c>
      <c r="J537" t="str">
        <f t="shared" si="139"/>
        <v>N</v>
      </c>
    </row>
    <row r="538" spans="1:10">
      <c r="A538" t="str">
        <f>"LE-010-27004"</f>
        <v>LE-010-27004</v>
      </c>
      <c r="B538" t="str">
        <f>"INACT"</f>
        <v>INACT</v>
      </c>
      <c r="C538" t="str">
        <f>"19"</f>
        <v>19</v>
      </c>
      <c r="D538" t="str">
        <f t="shared" si="135"/>
        <v>N/A</v>
      </c>
      <c r="E538" t="str">
        <f>"CML-1100064"</f>
        <v>CML-1100064</v>
      </c>
      <c r="F538" t="str">
        <f t="shared" si="136"/>
        <v>CM-500</v>
      </c>
      <c r="G538" t="str">
        <f t="shared" ref="G538:G566" si="141">"ESD CONSTANT MONITOR"</f>
        <v>ESD CONSTANT MONITOR</v>
      </c>
      <c r="H538" t="str">
        <f>"avazquez"</f>
        <v>avazquez</v>
      </c>
      <c r="I538" t="str">
        <f t="shared" si="138"/>
        <v>058</v>
      </c>
      <c r="J538" t="str">
        <f t="shared" si="139"/>
        <v>N</v>
      </c>
    </row>
    <row r="539" spans="1:10">
      <c r="A539" t="str">
        <f>"LE-010-27007"</f>
        <v>LE-010-27007</v>
      </c>
      <c r="B539" t="str">
        <f>"INACT"</f>
        <v>INACT</v>
      </c>
      <c r="C539" t="str">
        <f>"19"</f>
        <v>19</v>
      </c>
      <c r="D539" t="str">
        <f t="shared" si="135"/>
        <v>N/A</v>
      </c>
      <c r="E539" t="str">
        <f>"CML-1100067"</f>
        <v>CML-1100067</v>
      </c>
      <c r="F539" t="str">
        <f t="shared" si="136"/>
        <v>CM-500</v>
      </c>
      <c r="G539" t="str">
        <f t="shared" si="141"/>
        <v>ESD CONSTANT MONITOR</v>
      </c>
      <c r="H539" t="str">
        <f>"zfernandez"</f>
        <v>zfernandez</v>
      </c>
      <c r="I539" t="str">
        <f t="shared" si="138"/>
        <v>058</v>
      </c>
      <c r="J539" t="str">
        <f t="shared" si="139"/>
        <v>N</v>
      </c>
    </row>
    <row r="540" spans="1:10">
      <c r="A540" t="str">
        <f>"0344MD01"</f>
        <v>0344MD01</v>
      </c>
      <c r="B540" t="str">
        <f>"ACT"</f>
        <v>ACT</v>
      </c>
      <c r="C540" t="str">
        <f>"20"</f>
        <v>20</v>
      </c>
      <c r="D540" t="str">
        <f t="shared" si="135"/>
        <v>N/A</v>
      </c>
      <c r="E540" t="str">
        <f>"CML-1100009"</f>
        <v>CML-1100009</v>
      </c>
      <c r="F540" t="str">
        <f t="shared" si="136"/>
        <v>CM-500</v>
      </c>
      <c r="G540" t="str">
        <f t="shared" si="141"/>
        <v>ESD CONSTANT MONITOR</v>
      </c>
      <c r="H540" t="str">
        <f>"avazquez"</f>
        <v>avazquez</v>
      </c>
      <c r="I540" t="str">
        <f t="shared" si="138"/>
        <v>058</v>
      </c>
      <c r="J540" t="str">
        <f t="shared" si="139"/>
        <v>N</v>
      </c>
    </row>
    <row r="541" spans="1:10">
      <c r="A541" t="str">
        <f>"LE-010-26522"</f>
        <v>LE-010-26522</v>
      </c>
      <c r="B541" t="str">
        <f>"INACT"</f>
        <v>INACT</v>
      </c>
      <c r="C541" t="str">
        <f>"19"</f>
        <v>19</v>
      </c>
      <c r="D541" t="str">
        <f t="shared" si="135"/>
        <v>N/A</v>
      </c>
      <c r="E541" t="str">
        <f>"CML-1100018"</f>
        <v>CML-1100018</v>
      </c>
      <c r="F541" t="str">
        <f t="shared" si="136"/>
        <v>CM-500</v>
      </c>
      <c r="G541" t="str">
        <f t="shared" si="141"/>
        <v>ESD CONSTANT MONITOR</v>
      </c>
      <c r="H541" t="str">
        <f>"zfernandez"</f>
        <v>zfernandez</v>
      </c>
      <c r="I541" t="str">
        <f t="shared" si="138"/>
        <v>058</v>
      </c>
      <c r="J541" t="str">
        <f t="shared" si="139"/>
        <v>N</v>
      </c>
    </row>
    <row r="542" spans="1:10">
      <c r="A542" t="str">
        <f>"LE-010-26523"</f>
        <v>LE-010-26523</v>
      </c>
      <c r="B542" t="str">
        <f>"INACT"</f>
        <v>INACT</v>
      </c>
      <c r="C542" t="str">
        <f>"17"</f>
        <v>17</v>
      </c>
      <c r="D542" t="str">
        <f t="shared" si="135"/>
        <v>N/A</v>
      </c>
      <c r="E542" t="str">
        <f>"CML-1100019"</f>
        <v>CML-1100019</v>
      </c>
      <c r="F542" t="str">
        <f t="shared" si="136"/>
        <v>CM-500</v>
      </c>
      <c r="G542" t="str">
        <f t="shared" si="141"/>
        <v>ESD CONSTANT MONITOR</v>
      </c>
      <c r="H542" t="str">
        <f>"avazquez"</f>
        <v>avazquez</v>
      </c>
      <c r="I542" t="str">
        <f t="shared" si="138"/>
        <v>058</v>
      </c>
      <c r="J542" t="str">
        <f t="shared" si="139"/>
        <v>N</v>
      </c>
    </row>
    <row r="543" spans="1:10">
      <c r="A543" t="str">
        <f>"LE-010-27208"</f>
        <v>LE-010-27208</v>
      </c>
      <c r="B543" t="str">
        <f>"INACT"</f>
        <v>INACT</v>
      </c>
      <c r="C543" t="str">
        <f>"30"</f>
        <v>30</v>
      </c>
      <c r="D543" t="str">
        <f t="shared" si="135"/>
        <v>N/A</v>
      </c>
      <c r="E543" t="str">
        <f>"CML-1100176"</f>
        <v>CML-1100176</v>
      </c>
      <c r="F543" t="str">
        <f t="shared" si="136"/>
        <v>CM-500</v>
      </c>
      <c r="G543" t="str">
        <f t="shared" si="141"/>
        <v>ESD CONSTANT MONITOR</v>
      </c>
      <c r="H543" t="str">
        <f>"gbejar"</f>
        <v>gbejar</v>
      </c>
      <c r="I543" t="str">
        <f t="shared" si="138"/>
        <v>058</v>
      </c>
      <c r="J543" t="str">
        <f t="shared" si="139"/>
        <v>N</v>
      </c>
    </row>
    <row r="544" spans="1:10">
      <c r="A544" t="str">
        <f>"LE-010-26925"</f>
        <v>LE-010-26925</v>
      </c>
      <c r="B544" t="str">
        <f>"ACT"</f>
        <v>ACT</v>
      </c>
      <c r="C544" t="str">
        <f>"27"</f>
        <v>27</v>
      </c>
      <c r="D544" t="str">
        <f t="shared" si="135"/>
        <v>N/A</v>
      </c>
      <c r="E544" t="str">
        <f>"CML-1100243"</f>
        <v>CML-1100243</v>
      </c>
      <c r="F544" t="str">
        <f t="shared" si="136"/>
        <v>CM-500</v>
      </c>
      <c r="G544" t="str">
        <f t="shared" si="141"/>
        <v>ESD CONSTANT MONITOR</v>
      </c>
      <c r="H544" t="str">
        <f>"avazquez"</f>
        <v>avazquez</v>
      </c>
      <c r="I544" t="str">
        <f t="shared" si="138"/>
        <v>058</v>
      </c>
      <c r="J544" t="str">
        <f t="shared" si="139"/>
        <v>N</v>
      </c>
    </row>
    <row r="545" spans="1:10">
      <c r="A545" t="str">
        <f>"LE-010-26926"</f>
        <v>LE-010-26926</v>
      </c>
      <c r="B545" t="str">
        <f>"INACT"</f>
        <v>INACT</v>
      </c>
      <c r="C545" t="str">
        <f>"18"</f>
        <v>18</v>
      </c>
      <c r="D545" t="str">
        <f t="shared" si="135"/>
        <v>N/A</v>
      </c>
      <c r="E545" t="str">
        <f>"CML-1100244"</f>
        <v>CML-1100244</v>
      </c>
      <c r="F545" t="str">
        <f t="shared" si="136"/>
        <v>CM-500</v>
      </c>
      <c r="G545" t="str">
        <f t="shared" si="141"/>
        <v>ESD CONSTANT MONITOR</v>
      </c>
      <c r="H545" t="str">
        <f>"avazquez"</f>
        <v>avazquez</v>
      </c>
      <c r="I545" t="str">
        <f t="shared" si="138"/>
        <v>058</v>
      </c>
      <c r="J545" t="str">
        <f t="shared" si="139"/>
        <v>N</v>
      </c>
    </row>
    <row r="546" spans="1:10">
      <c r="A546" t="str">
        <f>"LE-010-26928"</f>
        <v>LE-010-26928</v>
      </c>
      <c r="B546" t="str">
        <f>"INACT"</f>
        <v>INACT</v>
      </c>
      <c r="C546" t="str">
        <f>"19"</f>
        <v>19</v>
      </c>
      <c r="D546" t="str">
        <f t="shared" si="135"/>
        <v>N/A</v>
      </c>
      <c r="E546" t="str">
        <f>"CML-1100246"</f>
        <v>CML-1100246</v>
      </c>
      <c r="F546" t="str">
        <f t="shared" si="136"/>
        <v>CM-500</v>
      </c>
      <c r="G546" t="str">
        <f t="shared" si="141"/>
        <v>ESD CONSTANT MONITOR</v>
      </c>
      <c r="H546" t="str">
        <f>"zfernandez"</f>
        <v>zfernandez</v>
      </c>
      <c r="I546" t="str">
        <f t="shared" si="138"/>
        <v>058</v>
      </c>
      <c r="J546" t="str">
        <f t="shared" si="139"/>
        <v>N</v>
      </c>
    </row>
    <row r="547" spans="1:10">
      <c r="A547" t="str">
        <f>"0344MD00"</f>
        <v>0344MD00</v>
      </c>
      <c r="B547" t="str">
        <f>"ACT"</f>
        <v>ACT</v>
      </c>
      <c r="C547" t="str">
        <f>"36"</f>
        <v>36</v>
      </c>
      <c r="D547" t="str">
        <f t="shared" si="135"/>
        <v>N/A</v>
      </c>
      <c r="E547" t="str">
        <f>"CML-1100146"</f>
        <v>CML-1100146</v>
      </c>
      <c r="F547" t="str">
        <f t="shared" si="136"/>
        <v>CM-500</v>
      </c>
      <c r="G547" t="str">
        <f t="shared" si="141"/>
        <v>ESD CONSTANT MONITOR</v>
      </c>
      <c r="H547" t="str">
        <f>"zfernandez"</f>
        <v>zfernandez</v>
      </c>
      <c r="I547" t="str">
        <f t="shared" si="138"/>
        <v>058</v>
      </c>
      <c r="J547" t="str">
        <f t="shared" si="139"/>
        <v>N</v>
      </c>
    </row>
    <row r="548" spans="1:10">
      <c r="A548" t="str">
        <f>"LE-010-27163"</f>
        <v>LE-010-27163</v>
      </c>
      <c r="B548" t="str">
        <f>"ACT"</f>
        <v>ACT</v>
      </c>
      <c r="C548" t="str">
        <f>"18"</f>
        <v>18</v>
      </c>
      <c r="D548" t="str">
        <f t="shared" si="135"/>
        <v>N/A</v>
      </c>
      <c r="E548" t="str">
        <f>"CML-1100239"</f>
        <v>CML-1100239</v>
      </c>
      <c r="F548" t="str">
        <f t="shared" si="136"/>
        <v>CM-500</v>
      </c>
      <c r="G548" t="str">
        <f t="shared" si="141"/>
        <v>ESD CONSTANT MONITOR</v>
      </c>
      <c r="H548" t="str">
        <f>"avazquez"</f>
        <v>avazquez</v>
      </c>
      <c r="I548" t="str">
        <f t="shared" si="138"/>
        <v>058</v>
      </c>
      <c r="J548" t="str">
        <f t="shared" si="139"/>
        <v>N</v>
      </c>
    </row>
    <row r="549" spans="1:10">
      <c r="A549" t="str">
        <f>"LE-010-27206"</f>
        <v>LE-010-27206</v>
      </c>
      <c r="B549" t="str">
        <f>"ACT"</f>
        <v>ACT</v>
      </c>
      <c r="C549" t="str">
        <f>"18"</f>
        <v>18</v>
      </c>
      <c r="D549" t="str">
        <f t="shared" si="135"/>
        <v>N/A</v>
      </c>
      <c r="E549" t="str">
        <f>"CML-1100174"</f>
        <v>CML-1100174</v>
      </c>
      <c r="F549" t="str">
        <f t="shared" si="136"/>
        <v>CM-500</v>
      </c>
      <c r="G549" t="str">
        <f t="shared" si="141"/>
        <v>ESD CONSTANT MONITOR</v>
      </c>
      <c r="H549" t="str">
        <f>"avazquez"</f>
        <v>avazquez</v>
      </c>
      <c r="I549" t="str">
        <f t="shared" si="138"/>
        <v>058</v>
      </c>
      <c r="J549" t="str">
        <f t="shared" si="139"/>
        <v>N</v>
      </c>
    </row>
    <row r="550" spans="1:10">
      <c r="A550" t="str">
        <f>"LE-010-27034"</f>
        <v>LE-010-27034</v>
      </c>
      <c r="B550" t="str">
        <f>"INACT"</f>
        <v>INACT</v>
      </c>
      <c r="C550" t="str">
        <f>"19"</f>
        <v>19</v>
      </c>
      <c r="D550" t="str">
        <f t="shared" si="135"/>
        <v>N/A</v>
      </c>
      <c r="E550" t="str">
        <f>"CML-1100216"</f>
        <v>CML-1100216</v>
      </c>
      <c r="F550" t="str">
        <f t="shared" si="136"/>
        <v>CM-500</v>
      </c>
      <c r="G550" t="str">
        <f t="shared" si="141"/>
        <v>ESD CONSTANT MONITOR</v>
      </c>
      <c r="H550" t="str">
        <f>"zfernandez"</f>
        <v>zfernandez</v>
      </c>
      <c r="I550" t="str">
        <f t="shared" si="138"/>
        <v>058</v>
      </c>
      <c r="J550" t="str">
        <f t="shared" si="139"/>
        <v>N</v>
      </c>
    </row>
    <row r="551" spans="1:10">
      <c r="A551" t="str">
        <f>"LE-010-27085"</f>
        <v>LE-010-27085</v>
      </c>
      <c r="B551" t="str">
        <f>"ACT"</f>
        <v>ACT</v>
      </c>
      <c r="C551" t="str">
        <f>"30"</f>
        <v>30</v>
      </c>
      <c r="D551" t="str">
        <f t="shared" si="135"/>
        <v>N/A</v>
      </c>
      <c r="E551" t="str">
        <f>"CML-1100135"</f>
        <v>CML-1100135</v>
      </c>
      <c r="F551" t="str">
        <f t="shared" si="136"/>
        <v>CM-500</v>
      </c>
      <c r="G551" t="str">
        <f t="shared" si="141"/>
        <v>ESD CONSTANT MONITOR</v>
      </c>
      <c r="H551" t="str">
        <f>"hcharles"</f>
        <v>hcharles</v>
      </c>
      <c r="I551" t="str">
        <f t="shared" si="138"/>
        <v>058</v>
      </c>
      <c r="J551" t="str">
        <f t="shared" si="139"/>
        <v>N</v>
      </c>
    </row>
    <row r="552" spans="1:10">
      <c r="A552" t="str">
        <f>"LE-010-28376"</f>
        <v>LE-010-28376</v>
      </c>
      <c r="B552" t="str">
        <f>"ACT"</f>
        <v>ACT</v>
      </c>
      <c r="C552" t="str">
        <f>"13"</f>
        <v>13</v>
      </c>
      <c r="D552" t="str">
        <f t="shared" si="135"/>
        <v>N/A</v>
      </c>
      <c r="E552" t="str">
        <f>"CML-1100163"</f>
        <v>CML-1100163</v>
      </c>
      <c r="F552" t="str">
        <f t="shared" si="136"/>
        <v>CM-500</v>
      </c>
      <c r="G552" t="str">
        <f t="shared" si="141"/>
        <v>ESD CONSTANT MONITOR</v>
      </c>
      <c r="H552" t="str">
        <f>"avazquez"</f>
        <v>avazquez</v>
      </c>
      <c r="I552" t="str">
        <f t="shared" si="138"/>
        <v>058</v>
      </c>
      <c r="J552" t="str">
        <f t="shared" si="139"/>
        <v>N</v>
      </c>
    </row>
    <row r="553" spans="1:10">
      <c r="A553" t="str">
        <f>"LE-010-27134"</f>
        <v>LE-010-27134</v>
      </c>
      <c r="B553" t="str">
        <f>"ACT"</f>
        <v>ACT</v>
      </c>
      <c r="C553" t="str">
        <f>"30"</f>
        <v>30</v>
      </c>
      <c r="D553" t="str">
        <f t="shared" si="135"/>
        <v>N/A</v>
      </c>
      <c r="E553" t="str">
        <f>"CML-1100234"</f>
        <v>CML-1100234</v>
      </c>
      <c r="F553" t="str">
        <f t="shared" si="136"/>
        <v>CM-500</v>
      </c>
      <c r="G553" t="str">
        <f t="shared" si="141"/>
        <v>ESD CONSTANT MONITOR</v>
      </c>
      <c r="H553" t="str">
        <f>"hcharles"</f>
        <v>hcharles</v>
      </c>
      <c r="I553" t="str">
        <f t="shared" si="138"/>
        <v>058</v>
      </c>
      <c r="J553" t="str">
        <f t="shared" si="139"/>
        <v>N</v>
      </c>
    </row>
    <row r="554" spans="1:10">
      <c r="A554" t="str">
        <f>"LE-010-27129"</f>
        <v>LE-010-27129</v>
      </c>
      <c r="B554" t="str">
        <f>"INACT"</f>
        <v>INACT</v>
      </c>
      <c r="C554" t="str">
        <f>"19"</f>
        <v>19</v>
      </c>
      <c r="D554" t="str">
        <f t="shared" si="135"/>
        <v>N/A</v>
      </c>
      <c r="E554" t="str">
        <f>"CML-1100229"</f>
        <v>CML-1100229</v>
      </c>
      <c r="F554" t="str">
        <f t="shared" si="136"/>
        <v>CM-500</v>
      </c>
      <c r="G554" t="str">
        <f t="shared" si="141"/>
        <v>ESD CONSTANT MONITOR</v>
      </c>
      <c r="H554" t="str">
        <f>"zfernandez"</f>
        <v>zfernandez</v>
      </c>
      <c r="I554" t="str">
        <f t="shared" si="138"/>
        <v>058</v>
      </c>
      <c r="J554" t="str">
        <f t="shared" si="139"/>
        <v>N</v>
      </c>
    </row>
    <row r="555" spans="1:10">
      <c r="A555" t="str">
        <f>"LE-010-27111"</f>
        <v>LE-010-27111</v>
      </c>
      <c r="B555" t="str">
        <f>"ACT"</f>
        <v>ACT</v>
      </c>
      <c r="C555" t="str">
        <f>"13"</f>
        <v>13</v>
      </c>
      <c r="D555" t="str">
        <f t="shared" si="135"/>
        <v>N/A</v>
      </c>
      <c r="E555" t="str">
        <f>"CML-1100177"</f>
        <v>CML-1100177</v>
      </c>
      <c r="F555" t="str">
        <f t="shared" si="136"/>
        <v>CM-500</v>
      </c>
      <c r="G555" t="str">
        <f t="shared" si="141"/>
        <v>ESD CONSTANT MONITOR</v>
      </c>
      <c r="H555" t="str">
        <f>"avazquez"</f>
        <v>avazquez</v>
      </c>
      <c r="I555" t="str">
        <f t="shared" si="138"/>
        <v>058</v>
      </c>
      <c r="J555" t="str">
        <f t="shared" si="139"/>
        <v>N</v>
      </c>
    </row>
    <row r="556" spans="1:10">
      <c r="A556" t="str">
        <f>"LE-010-27102"</f>
        <v>LE-010-27102</v>
      </c>
      <c r="B556" t="str">
        <f>"ACT"</f>
        <v>ACT</v>
      </c>
      <c r="C556" t="str">
        <f>"13"</f>
        <v>13</v>
      </c>
      <c r="D556" t="str">
        <f t="shared" si="135"/>
        <v>N/A</v>
      </c>
      <c r="E556" t="str">
        <f>"CML-1100156"</f>
        <v>CML-1100156</v>
      </c>
      <c r="F556" t="str">
        <f t="shared" si="136"/>
        <v>CM-500</v>
      </c>
      <c r="G556" t="str">
        <f t="shared" si="141"/>
        <v>ESD CONSTANT MONITOR</v>
      </c>
      <c r="H556" t="str">
        <f>"avazquez"</f>
        <v>avazquez</v>
      </c>
      <c r="I556" t="str">
        <f t="shared" si="138"/>
        <v>058</v>
      </c>
      <c r="J556" t="str">
        <f t="shared" si="139"/>
        <v>N</v>
      </c>
    </row>
    <row r="557" spans="1:10">
      <c r="A557" t="str">
        <f>"0347OS00"</f>
        <v>0347OS00</v>
      </c>
      <c r="B557" t="str">
        <f>"INACT"</f>
        <v>INACT</v>
      </c>
      <c r="C557" t="str">
        <f>"19"</f>
        <v>19</v>
      </c>
      <c r="D557" t="str">
        <f t="shared" si="135"/>
        <v>N/A</v>
      </c>
      <c r="E557" t="str">
        <f>"CML-1100260"</f>
        <v>CML-1100260</v>
      </c>
      <c r="F557" t="str">
        <f t="shared" si="136"/>
        <v>CM-500</v>
      </c>
      <c r="G557" t="str">
        <f t="shared" si="141"/>
        <v>ESD CONSTANT MONITOR</v>
      </c>
      <c r="H557" t="str">
        <f>"zfernandez"</f>
        <v>zfernandez</v>
      </c>
      <c r="I557" t="str">
        <f t="shared" si="138"/>
        <v>058</v>
      </c>
      <c r="J557" t="str">
        <f t="shared" si="139"/>
        <v>N</v>
      </c>
    </row>
    <row r="558" spans="1:10">
      <c r="A558" t="str">
        <f>"LE-010-27061"</f>
        <v>LE-010-27061</v>
      </c>
      <c r="B558" t="str">
        <f>"ACT"</f>
        <v>ACT</v>
      </c>
      <c r="C558" t="str">
        <f>"13"</f>
        <v>13</v>
      </c>
      <c r="D558" t="str">
        <f t="shared" si="135"/>
        <v>N/A</v>
      </c>
      <c r="E558" t="str">
        <f>"CML-1100001"</f>
        <v>CML-1100001</v>
      </c>
      <c r="F558" t="str">
        <f t="shared" si="136"/>
        <v>CM-500</v>
      </c>
      <c r="G558" t="str">
        <f t="shared" si="141"/>
        <v>ESD CONSTANT MONITOR</v>
      </c>
      <c r="H558" t="str">
        <f>"avazquez"</f>
        <v>avazquez</v>
      </c>
      <c r="I558" t="str">
        <f t="shared" si="138"/>
        <v>058</v>
      </c>
      <c r="J558" t="str">
        <f t="shared" si="139"/>
        <v>N</v>
      </c>
    </row>
    <row r="559" spans="1:10">
      <c r="A559" t="str">
        <f>"0322MD08"</f>
        <v>0322MD08</v>
      </c>
      <c r="B559" t="str">
        <f>"ACT"</f>
        <v>ACT</v>
      </c>
      <c r="C559" t="str">
        <f>"13"</f>
        <v>13</v>
      </c>
      <c r="D559" t="str">
        <f t="shared" si="135"/>
        <v>N/A</v>
      </c>
      <c r="E559" t="str">
        <f>"CML-1100160"</f>
        <v>CML-1100160</v>
      </c>
      <c r="F559" t="str">
        <f t="shared" si="136"/>
        <v>CM-500</v>
      </c>
      <c r="G559" t="str">
        <f t="shared" si="141"/>
        <v>ESD CONSTANT MONITOR</v>
      </c>
      <c r="H559" t="str">
        <f>"avazquez"</f>
        <v>avazquez</v>
      </c>
      <c r="I559" t="str">
        <f t="shared" si="138"/>
        <v>058</v>
      </c>
      <c r="J559" t="str">
        <f t="shared" si="139"/>
        <v>N</v>
      </c>
    </row>
    <row r="560" spans="1:10">
      <c r="A560" t="str">
        <f>"LE-010-27021"</f>
        <v>LE-010-27021</v>
      </c>
      <c r="B560" t="str">
        <f>"ACT"</f>
        <v>ACT</v>
      </c>
      <c r="C560" t="str">
        <f>"27"</f>
        <v>27</v>
      </c>
      <c r="D560" t="str">
        <f t="shared" si="135"/>
        <v>N/A</v>
      </c>
      <c r="E560" t="str">
        <f>"CML-1100167"</f>
        <v>CML-1100167</v>
      </c>
      <c r="F560" t="str">
        <f t="shared" si="136"/>
        <v>CM-500</v>
      </c>
      <c r="G560" t="str">
        <f t="shared" si="141"/>
        <v>ESD CONSTANT MONITOR</v>
      </c>
      <c r="H560" t="str">
        <f>"mvazquez"</f>
        <v>mvazquez</v>
      </c>
      <c r="I560" t="str">
        <f t="shared" si="138"/>
        <v>058</v>
      </c>
      <c r="J560" t="str">
        <f t="shared" si="139"/>
        <v>N</v>
      </c>
    </row>
    <row r="561" spans="1:10">
      <c r="A561" t="str">
        <f>"LE-010-27049"</f>
        <v>LE-010-27049</v>
      </c>
      <c r="B561" t="str">
        <f>"INACT"</f>
        <v>INACT</v>
      </c>
      <c r="C561" t="str">
        <f>"19"</f>
        <v>19</v>
      </c>
      <c r="D561" t="str">
        <f t="shared" si="135"/>
        <v>N/A</v>
      </c>
      <c r="E561" t="str">
        <f>"CML-1100025"</f>
        <v>CML-1100025</v>
      </c>
      <c r="F561" t="str">
        <f t="shared" si="136"/>
        <v>CM-500</v>
      </c>
      <c r="G561" t="str">
        <f t="shared" si="141"/>
        <v>ESD CONSTANT MONITOR</v>
      </c>
      <c r="H561" t="str">
        <f>"avazquez"</f>
        <v>avazquez</v>
      </c>
      <c r="I561" t="str">
        <f t="shared" si="138"/>
        <v>058</v>
      </c>
      <c r="J561" t="str">
        <f t="shared" si="139"/>
        <v>N</v>
      </c>
    </row>
    <row r="562" spans="1:10">
      <c r="A562" t="str">
        <f>"LE-010-26634"</f>
        <v>LE-010-26634</v>
      </c>
      <c r="B562" t="str">
        <f>"ACT"</f>
        <v>ACT</v>
      </c>
      <c r="C562" t="str">
        <f>"13"</f>
        <v>13</v>
      </c>
      <c r="D562" t="str">
        <f t="shared" si="135"/>
        <v>N/A</v>
      </c>
      <c r="E562" t="str">
        <f>"CML-1100113"</f>
        <v>CML-1100113</v>
      </c>
      <c r="F562" t="str">
        <f t="shared" si="136"/>
        <v>CM-500</v>
      </c>
      <c r="G562" t="str">
        <f t="shared" si="141"/>
        <v>ESD CONSTANT MONITOR</v>
      </c>
      <c r="H562" t="str">
        <f>"avazquez"</f>
        <v>avazquez</v>
      </c>
      <c r="I562" t="str">
        <f t="shared" si="138"/>
        <v>058</v>
      </c>
      <c r="J562" t="str">
        <f t="shared" si="139"/>
        <v>N</v>
      </c>
    </row>
    <row r="563" spans="1:10">
      <c r="A563" t="str">
        <f>"LE-010-27093"</f>
        <v>LE-010-27093</v>
      </c>
      <c r="B563" t="str">
        <f>"ACT"</f>
        <v>ACT</v>
      </c>
      <c r="C563" t="str">
        <f>"13"</f>
        <v>13</v>
      </c>
      <c r="D563" t="str">
        <f t="shared" si="135"/>
        <v>N/A</v>
      </c>
      <c r="E563" t="str">
        <f>"CML-1100143"</f>
        <v>CML-1100143</v>
      </c>
      <c r="F563" t="str">
        <f t="shared" si="136"/>
        <v>CM-500</v>
      </c>
      <c r="G563" t="str">
        <f t="shared" si="141"/>
        <v>ESD CONSTANT MONITOR</v>
      </c>
      <c r="H563" t="str">
        <f>"avazquez"</f>
        <v>avazquez</v>
      </c>
      <c r="I563" t="str">
        <f t="shared" si="138"/>
        <v>058</v>
      </c>
      <c r="J563" t="str">
        <f t="shared" si="139"/>
        <v>N</v>
      </c>
    </row>
    <row r="564" spans="1:10">
      <c r="A564" t="str">
        <f>"LE-010-27088"</f>
        <v>LE-010-27088</v>
      </c>
      <c r="B564" t="str">
        <f>"INACT"</f>
        <v>INACT</v>
      </c>
      <c r="C564" t="str">
        <f>"19"</f>
        <v>19</v>
      </c>
      <c r="D564" t="str">
        <f t="shared" si="135"/>
        <v>N/A</v>
      </c>
      <c r="E564" t="str">
        <f>"CML-1100138"</f>
        <v>CML-1100138</v>
      </c>
      <c r="F564" t="str">
        <f t="shared" si="136"/>
        <v>CM-500</v>
      </c>
      <c r="G564" t="str">
        <f t="shared" si="141"/>
        <v>ESD CONSTANT MONITOR</v>
      </c>
      <c r="H564" t="str">
        <f>"zfernandez"</f>
        <v>zfernandez</v>
      </c>
      <c r="I564" t="str">
        <f t="shared" si="138"/>
        <v>058</v>
      </c>
      <c r="J564" t="str">
        <f t="shared" si="139"/>
        <v>N</v>
      </c>
    </row>
    <row r="565" spans="1:10">
      <c r="A565" t="str">
        <f>"LE-010-26597"</f>
        <v>LE-010-26597</v>
      </c>
      <c r="B565" t="str">
        <f>"INACT"</f>
        <v>INACT</v>
      </c>
      <c r="C565" t="str">
        <f>"19"</f>
        <v>19</v>
      </c>
      <c r="D565" t="str">
        <f t="shared" si="135"/>
        <v>N/A</v>
      </c>
      <c r="E565" t="str">
        <f>"CML-1100079"</f>
        <v>CML-1100079</v>
      </c>
      <c r="F565" t="str">
        <f t="shared" si="136"/>
        <v>CM-500</v>
      </c>
      <c r="G565" t="str">
        <f t="shared" si="141"/>
        <v>ESD CONSTANT MONITOR</v>
      </c>
      <c r="H565" t="str">
        <f>"zfernandez"</f>
        <v>zfernandez</v>
      </c>
      <c r="I565" t="str">
        <f t="shared" si="138"/>
        <v>058</v>
      </c>
      <c r="J565" t="str">
        <f t="shared" si="139"/>
        <v>N</v>
      </c>
    </row>
    <row r="566" spans="1:10">
      <c r="A566" t="str">
        <f>"LE-010-26643"</f>
        <v>LE-010-26643</v>
      </c>
      <c r="B566" t="str">
        <f>"INACT"</f>
        <v>INACT</v>
      </c>
      <c r="C566" t="str">
        <f>"13"</f>
        <v>13</v>
      </c>
      <c r="D566" t="str">
        <f t="shared" si="135"/>
        <v>N/A</v>
      </c>
      <c r="E566" t="str">
        <f>"CML-1100128"</f>
        <v>CML-1100128</v>
      </c>
      <c r="F566" t="str">
        <f t="shared" si="136"/>
        <v>CM-500</v>
      </c>
      <c r="G566" t="str">
        <f t="shared" si="141"/>
        <v>ESD CONSTANT MONITOR</v>
      </c>
      <c r="H566" t="str">
        <f>"zfernandez"</f>
        <v>zfernandez</v>
      </c>
      <c r="I566" t="str">
        <f t="shared" si="138"/>
        <v>058</v>
      </c>
      <c r="J566" t="str">
        <f t="shared" si="139"/>
        <v>N</v>
      </c>
    </row>
    <row r="567" spans="1:10">
      <c r="A567" t="str">
        <f>"LE-010-26649"</f>
        <v>LE-010-26649</v>
      </c>
      <c r="B567" t="str">
        <f>"ACT"</f>
        <v>ACT</v>
      </c>
      <c r="C567" t="str">
        <f>"09"</f>
        <v>09</v>
      </c>
      <c r="D567" t="str">
        <f t="shared" si="135"/>
        <v>N/A</v>
      </c>
      <c r="E567" t="str">
        <f>"CML-1100098"</f>
        <v>CML-1100098</v>
      </c>
      <c r="F567" t="str">
        <f t="shared" si="136"/>
        <v>CM-500</v>
      </c>
      <c r="G567" t="str">
        <f>"ESD CONSTANT MONITOR  PRUEBA 161X"</f>
        <v>ESD CONSTANT MONITOR  PRUEBA 161X</v>
      </c>
      <c r="H567" t="str">
        <f>"hcharles"</f>
        <v>hcharles</v>
      </c>
      <c r="I567" t="str">
        <f t="shared" si="138"/>
        <v>058</v>
      </c>
      <c r="J567" t="str">
        <f t="shared" si="139"/>
        <v>N</v>
      </c>
    </row>
    <row r="568" spans="1:10">
      <c r="A568" t="str">
        <f>"LE-010-27023"</f>
        <v>LE-010-27023</v>
      </c>
      <c r="B568" t="str">
        <f>"INACT"</f>
        <v>INACT</v>
      </c>
      <c r="C568" t="str">
        <f>"19"</f>
        <v>19</v>
      </c>
      <c r="D568" t="str">
        <f t="shared" si="135"/>
        <v>N/A</v>
      </c>
      <c r="E568" t="str">
        <f>"CML-1100169"</f>
        <v>CML-1100169</v>
      </c>
      <c r="F568" t="str">
        <f t="shared" si="136"/>
        <v>CM-500</v>
      </c>
      <c r="G568" t="str">
        <f>"ESD CONSTANT MONITOR"</f>
        <v>ESD CONSTANT MONITOR</v>
      </c>
      <c r="H568" t="str">
        <f>"zfernandez"</f>
        <v>zfernandez</v>
      </c>
      <c r="I568" t="str">
        <f t="shared" si="138"/>
        <v>058</v>
      </c>
      <c r="J568" t="str">
        <f t="shared" si="139"/>
        <v>N</v>
      </c>
    </row>
    <row r="569" spans="1:10">
      <c r="A569" t="str">
        <f>"LE-010-27027"</f>
        <v>LE-010-27027</v>
      </c>
      <c r="B569" t="str">
        <f>"INACT"</f>
        <v>INACT</v>
      </c>
      <c r="C569" t="str">
        <f>"19"</f>
        <v>19</v>
      </c>
      <c r="D569" t="str">
        <f t="shared" si="135"/>
        <v>N/A</v>
      </c>
      <c r="E569" t="str">
        <f>"CML-1100209"</f>
        <v>CML-1100209</v>
      </c>
      <c r="F569" t="str">
        <f t="shared" si="136"/>
        <v>CM-500</v>
      </c>
      <c r="G569" t="str">
        <f>"ESD CONSTANT MONITOR"</f>
        <v>ESD CONSTANT MONITOR</v>
      </c>
      <c r="H569" t="str">
        <f>"zfernandez"</f>
        <v>zfernandez</v>
      </c>
      <c r="I569" t="str">
        <f t="shared" si="138"/>
        <v>058</v>
      </c>
      <c r="J569" t="str">
        <f t="shared" si="139"/>
        <v>N</v>
      </c>
    </row>
    <row r="570" spans="1:10">
      <c r="A570" t="str">
        <f>"LE-010-27086"</f>
        <v>LE-010-27086</v>
      </c>
      <c r="B570" t="str">
        <f>"ACT"</f>
        <v>ACT</v>
      </c>
      <c r="C570" t="str">
        <f>"13"</f>
        <v>13</v>
      </c>
      <c r="D570" t="str">
        <f t="shared" si="135"/>
        <v>N/A</v>
      </c>
      <c r="E570" t="str">
        <f>"CML-1100136"</f>
        <v>CML-1100136</v>
      </c>
      <c r="F570" t="str">
        <f t="shared" si="136"/>
        <v>CM-500</v>
      </c>
      <c r="G570" t="str">
        <f>"ESD CONSTANT MONITOR"</f>
        <v>ESD CONSTANT MONITOR</v>
      </c>
      <c r="H570" t="str">
        <f>"avazquez"</f>
        <v>avazquez</v>
      </c>
      <c r="I570" t="str">
        <f t="shared" si="138"/>
        <v>058</v>
      </c>
      <c r="J570" t="str">
        <f t="shared" si="139"/>
        <v>N</v>
      </c>
    </row>
    <row r="571" spans="1:10">
      <c r="A571" t="str">
        <f>"LE-010-27128"</f>
        <v>LE-010-27128</v>
      </c>
      <c r="B571" t="str">
        <f>"INACT"</f>
        <v>INACT</v>
      </c>
      <c r="C571" t="str">
        <f>"19"</f>
        <v>19</v>
      </c>
      <c r="D571" t="str">
        <f t="shared" si="135"/>
        <v>N/A</v>
      </c>
      <c r="E571" t="str">
        <f>"CML-1100228"</f>
        <v>CML-1100228</v>
      </c>
      <c r="F571" t="str">
        <f t="shared" si="136"/>
        <v>CM-500</v>
      </c>
      <c r="G571" t="str">
        <f>"ESD CONSTANT MONITOR"</f>
        <v>ESD CONSTANT MONITOR</v>
      </c>
      <c r="H571" t="str">
        <f>"zfernandez"</f>
        <v>zfernandez</v>
      </c>
      <c r="I571" t="str">
        <f t="shared" si="138"/>
        <v>058</v>
      </c>
      <c r="J571" t="str">
        <f t="shared" si="139"/>
        <v>N</v>
      </c>
    </row>
    <row r="572" spans="1:10">
      <c r="A572" t="str">
        <f>"0344OS00"</f>
        <v>0344OS00</v>
      </c>
      <c r="B572" t="str">
        <f>"ACT"</f>
        <v>ACT</v>
      </c>
      <c r="C572" t="str">
        <f>"30"</f>
        <v>30</v>
      </c>
      <c r="D572" t="str">
        <f t="shared" si="135"/>
        <v>N/A</v>
      </c>
      <c r="E572" t="str">
        <f>"CML-1100255"</f>
        <v>CML-1100255</v>
      </c>
      <c r="F572" t="str">
        <f t="shared" si="136"/>
        <v>CM-500</v>
      </c>
      <c r="G572" t="str">
        <f>"ESD CONSTANT MONITOR ITLA- PRUEBAS"</f>
        <v>ESD CONSTANT MONITOR ITLA- PRUEBAS</v>
      </c>
      <c r="H572" t="str">
        <f>"zfernandez"</f>
        <v>zfernandez</v>
      </c>
      <c r="I572" t="str">
        <f t="shared" si="138"/>
        <v>058</v>
      </c>
      <c r="J572" t="str">
        <f t="shared" si="139"/>
        <v>N</v>
      </c>
    </row>
    <row r="573" spans="1:10">
      <c r="A573" t="str">
        <f>"LE-010-26590"</f>
        <v>LE-010-26590</v>
      </c>
      <c r="B573" t="str">
        <f>"INACT"</f>
        <v>INACT</v>
      </c>
      <c r="C573" t="str">
        <f>"19"</f>
        <v>19</v>
      </c>
      <c r="D573" t="str">
        <f t="shared" si="135"/>
        <v>N/A</v>
      </c>
      <c r="E573" t="str">
        <f>"CML-1100108"</f>
        <v>CML-1100108</v>
      </c>
      <c r="F573" t="str">
        <f t="shared" si="136"/>
        <v>CM-500</v>
      </c>
      <c r="G573" t="str">
        <f t="shared" ref="G573:G604" si="142">"ESD CONSTANT MONITOR"</f>
        <v>ESD CONSTANT MONITOR</v>
      </c>
      <c r="H573" t="str">
        <f>"zfernandez"</f>
        <v>zfernandez</v>
      </c>
      <c r="I573" t="str">
        <f t="shared" si="138"/>
        <v>058</v>
      </c>
      <c r="J573" t="str">
        <f t="shared" si="139"/>
        <v>N</v>
      </c>
    </row>
    <row r="574" spans="1:10">
      <c r="A574" t="str">
        <f>"LE-010-27103"</f>
        <v>LE-010-27103</v>
      </c>
      <c r="B574" t="str">
        <f t="shared" ref="B574:B580" si="143">"ACT"</f>
        <v>ACT</v>
      </c>
      <c r="C574" t="str">
        <f>"13"</f>
        <v>13</v>
      </c>
      <c r="D574" t="str">
        <f t="shared" si="135"/>
        <v>N/A</v>
      </c>
      <c r="E574" t="str">
        <f>"CML-1100037"</f>
        <v>CML-1100037</v>
      </c>
      <c r="F574" t="str">
        <f t="shared" si="136"/>
        <v>CM-500</v>
      </c>
      <c r="G574" t="str">
        <f t="shared" si="142"/>
        <v>ESD CONSTANT MONITOR</v>
      </c>
      <c r="H574" t="str">
        <f>"avazquez"</f>
        <v>avazquez</v>
      </c>
      <c r="I574" t="str">
        <f t="shared" si="138"/>
        <v>058</v>
      </c>
      <c r="J574" t="str">
        <f t="shared" si="139"/>
        <v>N</v>
      </c>
    </row>
    <row r="575" spans="1:10">
      <c r="A575" t="str">
        <f>"LE-010-27152"</f>
        <v>LE-010-27152</v>
      </c>
      <c r="B575" t="str">
        <f t="shared" si="143"/>
        <v>ACT</v>
      </c>
      <c r="C575" t="str">
        <f>"30"</f>
        <v>30</v>
      </c>
      <c r="D575" t="str">
        <f t="shared" si="135"/>
        <v>N/A</v>
      </c>
      <c r="E575" t="str">
        <f>"CML-1100204"</f>
        <v>CML-1100204</v>
      </c>
      <c r="F575" t="str">
        <f t="shared" si="136"/>
        <v>CM-500</v>
      </c>
      <c r="G575" t="str">
        <f t="shared" si="142"/>
        <v>ESD CONSTANT MONITOR</v>
      </c>
      <c r="H575" t="str">
        <f>"zfernandez"</f>
        <v>zfernandez</v>
      </c>
      <c r="I575" t="str">
        <f t="shared" si="138"/>
        <v>058</v>
      </c>
      <c r="J575" t="str">
        <f t="shared" si="139"/>
        <v>N</v>
      </c>
    </row>
    <row r="576" spans="1:10">
      <c r="A576" t="str">
        <f>"0412OS00"</f>
        <v>0412OS00</v>
      </c>
      <c r="B576" t="str">
        <f t="shared" si="143"/>
        <v>ACT</v>
      </c>
      <c r="C576" t="str">
        <f>"31"</f>
        <v>31</v>
      </c>
      <c r="D576" t="str">
        <f t="shared" ref="D576:D639" si="144">"N/A"</f>
        <v>N/A</v>
      </c>
      <c r="E576" t="str">
        <f>"CML-1100042"</f>
        <v>CML-1100042</v>
      </c>
      <c r="F576" t="str">
        <f t="shared" ref="F576:F639" si="145">"CM-500"</f>
        <v>CM-500</v>
      </c>
      <c r="G576" t="str">
        <f t="shared" si="142"/>
        <v>ESD CONSTANT MONITOR</v>
      </c>
      <c r="H576" t="str">
        <f>"jhernandez"</f>
        <v>jhernandez</v>
      </c>
      <c r="I576" t="str">
        <f t="shared" ref="I576:I639" si="146">"058"</f>
        <v>058</v>
      </c>
      <c r="J576" t="str">
        <f t="shared" si="139"/>
        <v>N</v>
      </c>
    </row>
    <row r="577" spans="1:10">
      <c r="A577" t="str">
        <f>"LE-010-27145"</f>
        <v>LE-010-27145</v>
      </c>
      <c r="B577" t="str">
        <f t="shared" si="143"/>
        <v>ACT</v>
      </c>
      <c r="C577" t="str">
        <f>"30"</f>
        <v>30</v>
      </c>
      <c r="D577" t="str">
        <f t="shared" si="144"/>
        <v>N/A</v>
      </c>
      <c r="E577" t="str">
        <f>"CML-1100257"</f>
        <v>CML-1100257</v>
      </c>
      <c r="F577" t="str">
        <f t="shared" si="145"/>
        <v>CM-500</v>
      </c>
      <c r="G577" t="str">
        <f t="shared" si="142"/>
        <v>ESD CONSTANT MONITOR</v>
      </c>
      <c r="H577" t="str">
        <f>"mvazquez"</f>
        <v>mvazquez</v>
      </c>
      <c r="I577" t="str">
        <f t="shared" si="146"/>
        <v>058</v>
      </c>
      <c r="J577" t="str">
        <f t="shared" si="139"/>
        <v>N</v>
      </c>
    </row>
    <row r="578" spans="1:10">
      <c r="A578" t="str">
        <f>"LE-010-26996"</f>
        <v>LE-010-26996</v>
      </c>
      <c r="B578" t="str">
        <f t="shared" si="143"/>
        <v>ACT</v>
      </c>
      <c r="C578" t="str">
        <f>"13"</f>
        <v>13</v>
      </c>
      <c r="D578" t="str">
        <f t="shared" si="144"/>
        <v>N/A</v>
      </c>
      <c r="E578" t="str">
        <f>"CML-1100270"</f>
        <v>CML-1100270</v>
      </c>
      <c r="F578" t="str">
        <f t="shared" si="145"/>
        <v>CM-500</v>
      </c>
      <c r="G578" t="str">
        <f t="shared" si="142"/>
        <v>ESD CONSTANT MONITOR</v>
      </c>
      <c r="H578" t="str">
        <f>"avazquez"</f>
        <v>avazquez</v>
      </c>
      <c r="I578" t="str">
        <f t="shared" si="146"/>
        <v>058</v>
      </c>
      <c r="J578" t="str">
        <f t="shared" si="139"/>
        <v>N</v>
      </c>
    </row>
    <row r="579" spans="1:10">
      <c r="A579" t="str">
        <f>"LE-010-26638"</f>
        <v>LE-010-26638</v>
      </c>
      <c r="B579" t="str">
        <f t="shared" si="143"/>
        <v>ACT</v>
      </c>
      <c r="C579" t="str">
        <f>"27"</f>
        <v>27</v>
      </c>
      <c r="D579" t="str">
        <f t="shared" si="144"/>
        <v>N/A</v>
      </c>
      <c r="E579" t="str">
        <f>"CML-1100123"</f>
        <v>CML-1100123</v>
      </c>
      <c r="F579" t="str">
        <f t="shared" si="145"/>
        <v>CM-500</v>
      </c>
      <c r="G579" t="str">
        <f t="shared" si="142"/>
        <v>ESD CONSTANT MONITOR</v>
      </c>
      <c r="H579" t="str">
        <f>"avazquez"</f>
        <v>avazquez</v>
      </c>
      <c r="I579" t="str">
        <f t="shared" si="146"/>
        <v>058</v>
      </c>
      <c r="J579" t="str">
        <f t="shared" si="139"/>
        <v>N</v>
      </c>
    </row>
    <row r="580" spans="1:10">
      <c r="A580" t="str">
        <f>"LE-010-28372"</f>
        <v>LE-010-28372</v>
      </c>
      <c r="B580" t="str">
        <f t="shared" si="143"/>
        <v>ACT</v>
      </c>
      <c r="C580" t="str">
        <f>"27"</f>
        <v>27</v>
      </c>
      <c r="D580" t="str">
        <f t="shared" si="144"/>
        <v>N/A</v>
      </c>
      <c r="E580" t="str">
        <f>"CML-1100159"</f>
        <v>CML-1100159</v>
      </c>
      <c r="F580" t="str">
        <f t="shared" si="145"/>
        <v>CM-500</v>
      </c>
      <c r="G580" t="str">
        <f t="shared" si="142"/>
        <v>ESD CONSTANT MONITOR</v>
      </c>
      <c r="H580" t="str">
        <f>"mvazquez"</f>
        <v>mvazquez</v>
      </c>
      <c r="I580" t="str">
        <f t="shared" si="146"/>
        <v>058</v>
      </c>
      <c r="J580" t="str">
        <f t="shared" si="139"/>
        <v>N</v>
      </c>
    </row>
    <row r="581" spans="1:10">
      <c r="A581" t="str">
        <f>"LE-010-27130"</f>
        <v>LE-010-27130</v>
      </c>
      <c r="B581" t="str">
        <f>"INACT"</f>
        <v>INACT</v>
      </c>
      <c r="C581" t="str">
        <f>"30"</f>
        <v>30</v>
      </c>
      <c r="D581" t="str">
        <f t="shared" si="144"/>
        <v>N/A</v>
      </c>
      <c r="E581" t="str">
        <f>"CML-1100230"</f>
        <v>CML-1100230</v>
      </c>
      <c r="F581" t="str">
        <f t="shared" si="145"/>
        <v>CM-500</v>
      </c>
      <c r="G581" t="str">
        <f t="shared" si="142"/>
        <v>ESD CONSTANT MONITOR</v>
      </c>
      <c r="H581" t="str">
        <f>"gbejar"</f>
        <v>gbejar</v>
      </c>
      <c r="I581" t="str">
        <f t="shared" si="146"/>
        <v>058</v>
      </c>
      <c r="J581" t="str">
        <f t="shared" si="139"/>
        <v>N</v>
      </c>
    </row>
    <row r="582" spans="1:10">
      <c r="A582" t="str">
        <f>"LE-010-27043"</f>
        <v>LE-010-27043</v>
      </c>
      <c r="B582" t="str">
        <f>"ACT"</f>
        <v>ACT</v>
      </c>
      <c r="C582" t="str">
        <f>"13"</f>
        <v>13</v>
      </c>
      <c r="D582" t="str">
        <f t="shared" si="144"/>
        <v>N/A</v>
      </c>
      <c r="E582" t="str">
        <f>"CML-1100225"</f>
        <v>CML-1100225</v>
      </c>
      <c r="F582" t="str">
        <f t="shared" si="145"/>
        <v>CM-500</v>
      </c>
      <c r="G582" t="str">
        <f t="shared" si="142"/>
        <v>ESD CONSTANT MONITOR</v>
      </c>
      <c r="H582" t="str">
        <f>"avazquez"</f>
        <v>avazquez</v>
      </c>
      <c r="I582" t="str">
        <f t="shared" si="146"/>
        <v>058</v>
      </c>
      <c r="J582" t="str">
        <f t="shared" si="139"/>
        <v>N</v>
      </c>
    </row>
    <row r="583" spans="1:10">
      <c r="A583" t="str">
        <f>"LE-010-28379"</f>
        <v>LE-010-28379</v>
      </c>
      <c r="B583" t="str">
        <f>"ACT"</f>
        <v>ACT</v>
      </c>
      <c r="C583" t="str">
        <f>"30"</f>
        <v>30</v>
      </c>
      <c r="D583" t="str">
        <f t="shared" si="144"/>
        <v>N/A</v>
      </c>
      <c r="E583" t="str">
        <f>"CML-1100166"</f>
        <v>CML-1100166</v>
      </c>
      <c r="F583" t="str">
        <f t="shared" si="145"/>
        <v>CM-500</v>
      </c>
      <c r="G583" t="str">
        <f t="shared" si="142"/>
        <v>ESD CONSTANT MONITOR</v>
      </c>
      <c r="H583" t="str">
        <f>"avazquez"</f>
        <v>avazquez</v>
      </c>
      <c r="I583" t="str">
        <f t="shared" si="146"/>
        <v>058</v>
      </c>
      <c r="J583" t="str">
        <f t="shared" ref="J583:J646" si="147">"N"</f>
        <v>N</v>
      </c>
    </row>
    <row r="584" spans="1:10">
      <c r="A584" t="str">
        <f>"LE-010-27079"</f>
        <v>LE-010-27079</v>
      </c>
      <c r="B584" t="str">
        <f>"ACT"</f>
        <v>ACT</v>
      </c>
      <c r="C584" t="str">
        <f>"36"</f>
        <v>36</v>
      </c>
      <c r="D584" t="str">
        <f t="shared" si="144"/>
        <v>N/A</v>
      </c>
      <c r="E584" t="str">
        <f>"CML-1100043"</f>
        <v>CML-1100043</v>
      </c>
      <c r="F584" t="str">
        <f t="shared" si="145"/>
        <v>CM-500</v>
      </c>
      <c r="G584" t="str">
        <f t="shared" si="142"/>
        <v>ESD CONSTANT MONITOR</v>
      </c>
      <c r="H584" t="str">
        <f>"zfernandez"</f>
        <v>zfernandez</v>
      </c>
      <c r="I584" t="str">
        <f t="shared" si="146"/>
        <v>058</v>
      </c>
      <c r="J584" t="str">
        <f t="shared" si="147"/>
        <v>N</v>
      </c>
    </row>
    <row r="585" spans="1:10">
      <c r="A585" t="str">
        <f>"LE-010-27141"</f>
        <v>LE-010-27141</v>
      </c>
      <c r="B585" t="str">
        <f>"ACT"</f>
        <v>ACT</v>
      </c>
      <c r="C585" t="str">
        <f>"12"</f>
        <v>12</v>
      </c>
      <c r="D585" t="str">
        <f t="shared" si="144"/>
        <v>N/A</v>
      </c>
      <c r="E585" t="str">
        <f>"CML-1100253"</f>
        <v>CML-1100253</v>
      </c>
      <c r="F585" t="str">
        <f t="shared" si="145"/>
        <v>CM-500</v>
      </c>
      <c r="G585" t="str">
        <f t="shared" si="142"/>
        <v>ESD CONSTANT MONITOR</v>
      </c>
      <c r="H585" t="str">
        <f t="shared" ref="H585:H590" si="148">"avazquez"</f>
        <v>avazquez</v>
      </c>
      <c r="I585" t="str">
        <f t="shared" si="146"/>
        <v>058</v>
      </c>
      <c r="J585" t="str">
        <f t="shared" si="147"/>
        <v>N</v>
      </c>
    </row>
    <row r="586" spans="1:10">
      <c r="A586" t="str">
        <f>"LE-010-27110"</f>
        <v>LE-010-27110</v>
      </c>
      <c r="B586" t="str">
        <f>"INACT"</f>
        <v>INACT</v>
      </c>
      <c r="C586" t="str">
        <f>"19"</f>
        <v>19</v>
      </c>
      <c r="D586" t="str">
        <f t="shared" si="144"/>
        <v>N/A</v>
      </c>
      <c r="E586" t="str">
        <f>"CML-1100276"</f>
        <v>CML-1100276</v>
      </c>
      <c r="F586" t="str">
        <f t="shared" si="145"/>
        <v>CM-500</v>
      </c>
      <c r="G586" t="str">
        <f t="shared" si="142"/>
        <v>ESD CONSTANT MONITOR</v>
      </c>
      <c r="H586" t="str">
        <f t="shared" si="148"/>
        <v>avazquez</v>
      </c>
      <c r="I586" t="str">
        <f t="shared" si="146"/>
        <v>058</v>
      </c>
      <c r="J586" t="str">
        <f t="shared" si="147"/>
        <v>N</v>
      </c>
    </row>
    <row r="587" spans="1:10">
      <c r="A587" t="str">
        <f>"LE-010-26586"</f>
        <v>LE-010-26586</v>
      </c>
      <c r="B587" t="str">
        <f>"ACT"</f>
        <v>ACT</v>
      </c>
      <c r="C587" t="str">
        <f>"04"</f>
        <v>04</v>
      </c>
      <c r="D587" t="str">
        <f t="shared" si="144"/>
        <v>N/A</v>
      </c>
      <c r="E587" t="str">
        <f>"CML-1100104"</f>
        <v>CML-1100104</v>
      </c>
      <c r="F587" t="str">
        <f t="shared" si="145"/>
        <v>CM-500</v>
      </c>
      <c r="G587" t="str">
        <f t="shared" si="142"/>
        <v>ESD CONSTANT MONITOR</v>
      </c>
      <c r="H587" t="str">
        <f t="shared" si="148"/>
        <v>avazquez</v>
      </c>
      <c r="I587" t="str">
        <f t="shared" si="146"/>
        <v>058</v>
      </c>
      <c r="J587" t="str">
        <f t="shared" si="147"/>
        <v>N</v>
      </c>
    </row>
    <row r="588" spans="1:10">
      <c r="A588" t="str">
        <f>"LE-010-27150"</f>
        <v>LE-010-27150</v>
      </c>
      <c r="B588" t="str">
        <f>"ACT"</f>
        <v>ACT</v>
      </c>
      <c r="C588" t="str">
        <f>"05"</f>
        <v>05</v>
      </c>
      <c r="D588" t="str">
        <f t="shared" si="144"/>
        <v>N/A</v>
      </c>
      <c r="E588" t="str">
        <f>"CML-1100262"</f>
        <v>CML-1100262</v>
      </c>
      <c r="F588" t="str">
        <f t="shared" si="145"/>
        <v>CM-500</v>
      </c>
      <c r="G588" t="str">
        <f t="shared" si="142"/>
        <v>ESD CONSTANT MONITOR</v>
      </c>
      <c r="H588" t="str">
        <f t="shared" si="148"/>
        <v>avazquez</v>
      </c>
      <c r="I588" t="str">
        <f t="shared" si="146"/>
        <v>058</v>
      </c>
      <c r="J588" t="str">
        <f t="shared" si="147"/>
        <v>N</v>
      </c>
    </row>
    <row r="589" spans="1:10">
      <c r="A589" t="str">
        <f>"LE-010-27112"</f>
        <v>LE-010-27112</v>
      </c>
      <c r="B589" t="str">
        <f>"ACT"</f>
        <v>ACT</v>
      </c>
      <c r="C589" t="str">
        <f>"05"</f>
        <v>05</v>
      </c>
      <c r="D589" t="str">
        <f t="shared" si="144"/>
        <v>N/A</v>
      </c>
      <c r="E589" t="str">
        <f>"CML-1100278"</f>
        <v>CML-1100278</v>
      </c>
      <c r="F589" t="str">
        <f t="shared" si="145"/>
        <v>CM-500</v>
      </c>
      <c r="G589" t="str">
        <f t="shared" si="142"/>
        <v>ESD CONSTANT MONITOR</v>
      </c>
      <c r="H589" t="str">
        <f t="shared" si="148"/>
        <v>avazquez</v>
      </c>
      <c r="I589" t="str">
        <f t="shared" si="146"/>
        <v>058</v>
      </c>
      <c r="J589" t="str">
        <f t="shared" si="147"/>
        <v>N</v>
      </c>
    </row>
    <row r="590" spans="1:10">
      <c r="A590" t="str">
        <f>"LE-010-27070"</f>
        <v>LE-010-27070</v>
      </c>
      <c r="B590" t="str">
        <f>"ACT"</f>
        <v>ACT</v>
      </c>
      <c r="C590" t="str">
        <f>"04"</f>
        <v>04</v>
      </c>
      <c r="D590" t="str">
        <f t="shared" si="144"/>
        <v>N/A</v>
      </c>
      <c r="E590" t="str">
        <f>"CML-1100010"</f>
        <v>CML-1100010</v>
      </c>
      <c r="F590" t="str">
        <f t="shared" si="145"/>
        <v>CM-500</v>
      </c>
      <c r="G590" t="str">
        <f t="shared" si="142"/>
        <v>ESD CONSTANT MONITOR</v>
      </c>
      <c r="H590" t="str">
        <f t="shared" si="148"/>
        <v>avazquez</v>
      </c>
      <c r="I590" t="str">
        <f t="shared" si="146"/>
        <v>058</v>
      </c>
      <c r="J590" t="str">
        <f t="shared" si="147"/>
        <v>N</v>
      </c>
    </row>
    <row r="591" spans="1:10">
      <c r="A591" t="str">
        <f>"LE-010-27071"</f>
        <v>LE-010-27071</v>
      </c>
      <c r="B591" t="str">
        <f>"ACT"</f>
        <v>ACT</v>
      </c>
      <c r="C591" t="str">
        <f>"30"</f>
        <v>30</v>
      </c>
      <c r="D591" t="str">
        <f t="shared" si="144"/>
        <v>N/A</v>
      </c>
      <c r="E591" t="str">
        <f>"CML-1100011"</f>
        <v>CML-1100011</v>
      </c>
      <c r="F591" t="str">
        <f t="shared" si="145"/>
        <v>CM-500</v>
      </c>
      <c r="G591" t="str">
        <f t="shared" si="142"/>
        <v>ESD CONSTANT MONITOR</v>
      </c>
      <c r="H591" t="str">
        <f>"hcharles"</f>
        <v>hcharles</v>
      </c>
      <c r="I591" t="str">
        <f t="shared" si="146"/>
        <v>058</v>
      </c>
      <c r="J591" t="str">
        <f t="shared" si="147"/>
        <v>N</v>
      </c>
    </row>
    <row r="592" spans="1:10">
      <c r="A592" t="str">
        <f>"LE-010-28371"</f>
        <v>LE-010-28371</v>
      </c>
      <c r="B592" t="str">
        <f>"INACT"</f>
        <v>INACT</v>
      </c>
      <c r="C592" t="str">
        <f>"04"</f>
        <v>04</v>
      </c>
      <c r="D592" t="str">
        <f t="shared" si="144"/>
        <v>N/A</v>
      </c>
      <c r="E592" t="str">
        <f>"CML-1100158"</f>
        <v>CML-1100158</v>
      </c>
      <c r="F592" t="str">
        <f t="shared" si="145"/>
        <v>CM-500</v>
      </c>
      <c r="G592" t="str">
        <f t="shared" si="142"/>
        <v>ESD CONSTANT MONITOR</v>
      </c>
      <c r="H592" t="str">
        <f>"avazquez"</f>
        <v>avazquez</v>
      </c>
      <c r="I592" t="str">
        <f t="shared" si="146"/>
        <v>058</v>
      </c>
      <c r="J592" t="str">
        <f t="shared" si="147"/>
        <v>N</v>
      </c>
    </row>
    <row r="593" spans="1:10">
      <c r="A593" t="str">
        <f>"LE-010-26524"</f>
        <v>LE-010-26524</v>
      </c>
      <c r="B593" t="str">
        <f>"ACT"</f>
        <v>ACT</v>
      </c>
      <c r="C593" t="str">
        <f>"04"</f>
        <v>04</v>
      </c>
      <c r="D593" t="str">
        <f t="shared" si="144"/>
        <v>N/A</v>
      </c>
      <c r="E593" t="str">
        <f>"CML-1100049"</f>
        <v>CML-1100049</v>
      </c>
      <c r="F593" t="str">
        <f t="shared" si="145"/>
        <v>CM-500</v>
      </c>
      <c r="G593" t="str">
        <f t="shared" si="142"/>
        <v>ESD CONSTANT MONITOR</v>
      </c>
      <c r="H593" t="str">
        <f>"avazquez"</f>
        <v>avazquez</v>
      </c>
      <c r="I593" t="str">
        <f t="shared" si="146"/>
        <v>058</v>
      </c>
      <c r="J593" t="str">
        <f t="shared" si="147"/>
        <v>N</v>
      </c>
    </row>
    <row r="594" spans="1:10">
      <c r="A594" t="str">
        <f>"LE-010-26528"</f>
        <v>LE-010-26528</v>
      </c>
      <c r="B594" t="str">
        <f>"INACT"</f>
        <v>INACT</v>
      </c>
      <c r="C594" t="str">
        <f>"04"</f>
        <v>04</v>
      </c>
      <c r="D594" t="str">
        <f t="shared" si="144"/>
        <v>N/A</v>
      </c>
      <c r="E594" t="str">
        <f>"CML-1100023"</f>
        <v>CML-1100023</v>
      </c>
      <c r="F594" t="str">
        <f t="shared" si="145"/>
        <v>CM-500</v>
      </c>
      <c r="G594" t="str">
        <f t="shared" si="142"/>
        <v>ESD CONSTANT MONITOR</v>
      </c>
      <c r="H594" t="str">
        <f>"avazquez"</f>
        <v>avazquez</v>
      </c>
      <c r="I594" t="str">
        <f t="shared" si="146"/>
        <v>058</v>
      </c>
      <c r="J594" t="str">
        <f t="shared" si="147"/>
        <v>N</v>
      </c>
    </row>
    <row r="595" spans="1:10">
      <c r="A595" t="str">
        <f>"LE-010-26529"</f>
        <v>LE-010-26529</v>
      </c>
      <c r="B595" t="str">
        <f>"INACT"</f>
        <v>INACT</v>
      </c>
      <c r="C595" t="str">
        <f>"19"</f>
        <v>19</v>
      </c>
      <c r="D595" t="str">
        <f t="shared" si="144"/>
        <v>N/A</v>
      </c>
      <c r="E595" t="str">
        <f>"CML-1100024"</f>
        <v>CML-1100024</v>
      </c>
      <c r="F595" t="str">
        <f t="shared" si="145"/>
        <v>CM-500</v>
      </c>
      <c r="G595" t="str">
        <f t="shared" si="142"/>
        <v>ESD CONSTANT MONITOR</v>
      </c>
      <c r="H595" t="str">
        <f>"zfernandez"</f>
        <v>zfernandez</v>
      </c>
      <c r="I595" t="str">
        <f t="shared" si="146"/>
        <v>058</v>
      </c>
      <c r="J595" t="str">
        <f t="shared" si="147"/>
        <v>N</v>
      </c>
    </row>
    <row r="596" spans="1:10">
      <c r="A596" t="str">
        <f>"LE-010-26571"</f>
        <v>LE-010-26571</v>
      </c>
      <c r="B596" t="str">
        <f>"ACT"</f>
        <v>ACT</v>
      </c>
      <c r="C596" t="str">
        <f>"04"</f>
        <v>04</v>
      </c>
      <c r="D596" t="str">
        <f t="shared" si="144"/>
        <v>N/A</v>
      </c>
      <c r="E596" t="str">
        <f>"CML-1100116"</f>
        <v>CML-1100116</v>
      </c>
      <c r="F596" t="str">
        <f t="shared" si="145"/>
        <v>CM-500</v>
      </c>
      <c r="G596" t="str">
        <f t="shared" si="142"/>
        <v>ESD CONSTANT MONITOR</v>
      </c>
      <c r="H596" t="str">
        <f t="shared" ref="H596:H601" si="149">"avazquez"</f>
        <v>avazquez</v>
      </c>
      <c r="I596" t="str">
        <f t="shared" si="146"/>
        <v>058</v>
      </c>
      <c r="J596" t="str">
        <f t="shared" si="147"/>
        <v>N</v>
      </c>
    </row>
    <row r="597" spans="1:10">
      <c r="A597" t="str">
        <f>"LE-010-26584"</f>
        <v>LE-010-26584</v>
      </c>
      <c r="B597" t="str">
        <f>"ACT"</f>
        <v>ACT</v>
      </c>
      <c r="C597" t="str">
        <f>"04"</f>
        <v>04</v>
      </c>
      <c r="D597" t="str">
        <f t="shared" si="144"/>
        <v>N/A</v>
      </c>
      <c r="E597" t="str">
        <f>"CML-1100102"</f>
        <v>CML-1100102</v>
      </c>
      <c r="F597" t="str">
        <f t="shared" si="145"/>
        <v>CM-500</v>
      </c>
      <c r="G597" t="str">
        <f t="shared" si="142"/>
        <v>ESD CONSTANT MONITOR</v>
      </c>
      <c r="H597" t="str">
        <f t="shared" si="149"/>
        <v>avazquez</v>
      </c>
      <c r="I597" t="str">
        <f t="shared" si="146"/>
        <v>058</v>
      </c>
      <c r="J597" t="str">
        <f t="shared" si="147"/>
        <v>N</v>
      </c>
    </row>
    <row r="598" spans="1:10">
      <c r="A598" t="str">
        <f>"LE-010-27075"</f>
        <v>LE-010-27075</v>
      </c>
      <c r="B598" t="str">
        <f>"ACT"</f>
        <v>ACT</v>
      </c>
      <c r="C598" t="str">
        <f>"05"</f>
        <v>05</v>
      </c>
      <c r="D598" t="str">
        <f t="shared" si="144"/>
        <v>N/A</v>
      </c>
      <c r="E598" t="str">
        <f>"CML-1100147"</f>
        <v>CML-1100147</v>
      </c>
      <c r="F598" t="str">
        <f t="shared" si="145"/>
        <v>CM-500</v>
      </c>
      <c r="G598" t="str">
        <f t="shared" si="142"/>
        <v>ESD CONSTANT MONITOR</v>
      </c>
      <c r="H598" t="str">
        <f t="shared" si="149"/>
        <v>avazquez</v>
      </c>
      <c r="I598" t="str">
        <f t="shared" si="146"/>
        <v>058</v>
      </c>
      <c r="J598" t="str">
        <f t="shared" si="147"/>
        <v>N</v>
      </c>
    </row>
    <row r="599" spans="1:10">
      <c r="A599" t="str">
        <f>"0421LD00"</f>
        <v>0421LD00</v>
      </c>
      <c r="B599" t="str">
        <f>"INACT"</f>
        <v>INACT</v>
      </c>
      <c r="C599" t="str">
        <f>"04"</f>
        <v>04</v>
      </c>
      <c r="D599" t="str">
        <f t="shared" si="144"/>
        <v>N/A</v>
      </c>
      <c r="E599" t="str">
        <f>"CML-1100285"</f>
        <v>CML-1100285</v>
      </c>
      <c r="F599" t="str">
        <f t="shared" si="145"/>
        <v>CM-500</v>
      </c>
      <c r="G599" t="str">
        <f t="shared" si="142"/>
        <v>ESD CONSTANT MONITOR</v>
      </c>
      <c r="H599" t="str">
        <f t="shared" si="149"/>
        <v>avazquez</v>
      </c>
      <c r="I599" t="str">
        <f t="shared" si="146"/>
        <v>058</v>
      </c>
      <c r="J599" t="str">
        <f t="shared" si="147"/>
        <v>N</v>
      </c>
    </row>
    <row r="600" spans="1:10">
      <c r="A600" t="str">
        <f>"0421LD01"</f>
        <v>0421LD01</v>
      </c>
      <c r="B600" t="str">
        <f>"ACT"</f>
        <v>ACT</v>
      </c>
      <c r="C600" t="str">
        <f>"05"</f>
        <v>05</v>
      </c>
      <c r="D600" t="str">
        <f t="shared" si="144"/>
        <v>N/A</v>
      </c>
      <c r="E600" t="str">
        <f>"CML-1100182"</f>
        <v>CML-1100182</v>
      </c>
      <c r="F600" t="str">
        <f t="shared" si="145"/>
        <v>CM-500</v>
      </c>
      <c r="G600" t="str">
        <f t="shared" si="142"/>
        <v>ESD CONSTANT MONITOR</v>
      </c>
      <c r="H600" t="str">
        <f t="shared" si="149"/>
        <v>avazquez</v>
      </c>
      <c r="I600" t="str">
        <f t="shared" si="146"/>
        <v>058</v>
      </c>
      <c r="J600" t="str">
        <f t="shared" si="147"/>
        <v>N</v>
      </c>
    </row>
    <row r="601" spans="1:10">
      <c r="A601" t="str">
        <f>"0421LD02"</f>
        <v>0421LD02</v>
      </c>
      <c r="B601" t="str">
        <f>"INACT"</f>
        <v>INACT</v>
      </c>
      <c r="C601" t="str">
        <f>"01"</f>
        <v>01</v>
      </c>
      <c r="D601" t="str">
        <f t="shared" si="144"/>
        <v>N/A</v>
      </c>
      <c r="E601" t="str">
        <f>"CML-1100186"</f>
        <v>CML-1100186</v>
      </c>
      <c r="F601" t="str">
        <f t="shared" si="145"/>
        <v>CM-500</v>
      </c>
      <c r="G601" t="str">
        <f t="shared" si="142"/>
        <v>ESD CONSTANT MONITOR</v>
      </c>
      <c r="H601" t="str">
        <f t="shared" si="149"/>
        <v>avazquez</v>
      </c>
      <c r="I601" t="str">
        <f t="shared" si="146"/>
        <v>058</v>
      </c>
      <c r="J601" t="str">
        <f t="shared" si="147"/>
        <v>N</v>
      </c>
    </row>
    <row r="602" spans="1:10">
      <c r="A602" t="str">
        <f>"LE-010-26596"</f>
        <v>LE-010-26596</v>
      </c>
      <c r="B602" t="str">
        <f>"ACT"</f>
        <v>ACT</v>
      </c>
      <c r="C602" t="str">
        <f>"30"</f>
        <v>30</v>
      </c>
      <c r="D602" t="str">
        <f t="shared" si="144"/>
        <v>N/A</v>
      </c>
      <c r="E602" t="str">
        <f>"CML-1100078"</f>
        <v>CML-1100078</v>
      </c>
      <c r="F602" t="str">
        <f t="shared" si="145"/>
        <v>CM-500</v>
      </c>
      <c r="G602" t="str">
        <f t="shared" si="142"/>
        <v>ESD CONSTANT MONITOR</v>
      </c>
      <c r="H602" t="str">
        <f>"gbejar"</f>
        <v>gbejar</v>
      </c>
      <c r="I602" t="str">
        <f t="shared" si="146"/>
        <v>058</v>
      </c>
      <c r="J602" t="str">
        <f t="shared" si="147"/>
        <v>N</v>
      </c>
    </row>
    <row r="603" spans="1:10">
      <c r="A603" t="str">
        <f>"LE-010-26611"</f>
        <v>LE-010-26611</v>
      </c>
      <c r="B603" t="str">
        <f>"INACT"</f>
        <v>INACT</v>
      </c>
      <c r="C603" t="str">
        <f>"04"</f>
        <v>04</v>
      </c>
      <c r="D603" t="str">
        <f t="shared" si="144"/>
        <v>N/A</v>
      </c>
      <c r="E603" t="str">
        <f>"CML-1100093"</f>
        <v>CML-1100093</v>
      </c>
      <c r="F603" t="str">
        <f t="shared" si="145"/>
        <v>CM-500</v>
      </c>
      <c r="G603" t="str">
        <f t="shared" si="142"/>
        <v>ESD CONSTANT MONITOR</v>
      </c>
      <c r="H603" t="str">
        <f t="shared" ref="H603:H608" si="150">"avazquez"</f>
        <v>avazquez</v>
      </c>
      <c r="I603" t="str">
        <f t="shared" si="146"/>
        <v>058</v>
      </c>
      <c r="J603" t="str">
        <f t="shared" si="147"/>
        <v>N</v>
      </c>
    </row>
    <row r="604" spans="1:10">
      <c r="A604" t="str">
        <f>"LE-010-26995"</f>
        <v>LE-010-26995</v>
      </c>
      <c r="B604" t="str">
        <f>"INACT"</f>
        <v>INACT</v>
      </c>
      <c r="C604" t="str">
        <f>"19"</f>
        <v>19</v>
      </c>
      <c r="D604" t="str">
        <f t="shared" si="144"/>
        <v>N/A</v>
      </c>
      <c r="E604" t="str">
        <f>"CML-1100269"</f>
        <v>CML-1100269</v>
      </c>
      <c r="F604" t="str">
        <f t="shared" si="145"/>
        <v>CM-500</v>
      </c>
      <c r="G604" t="str">
        <f t="shared" si="142"/>
        <v>ESD CONSTANT MONITOR</v>
      </c>
      <c r="H604" t="str">
        <f t="shared" si="150"/>
        <v>avazquez</v>
      </c>
      <c r="I604" t="str">
        <f t="shared" si="146"/>
        <v>058</v>
      </c>
      <c r="J604" t="str">
        <f t="shared" si="147"/>
        <v>N</v>
      </c>
    </row>
    <row r="605" spans="1:10">
      <c r="A605" t="str">
        <f>"LE-010-27029"</f>
        <v>LE-010-27029</v>
      </c>
      <c r="B605" t="str">
        <f>"ACT"</f>
        <v>ACT</v>
      </c>
      <c r="C605" t="str">
        <f>"04"</f>
        <v>04</v>
      </c>
      <c r="D605" t="str">
        <f t="shared" si="144"/>
        <v>N/A</v>
      </c>
      <c r="E605" t="str">
        <f>"CML-1100211"</f>
        <v>CML-1100211</v>
      </c>
      <c r="F605" t="str">
        <f t="shared" si="145"/>
        <v>CM-500</v>
      </c>
      <c r="G605" t="str">
        <f t="shared" ref="G605:G621" si="151">"ESD CONSTANT MONITOR"</f>
        <v>ESD CONSTANT MONITOR</v>
      </c>
      <c r="H605" t="str">
        <f t="shared" si="150"/>
        <v>avazquez</v>
      </c>
      <c r="I605" t="str">
        <f t="shared" si="146"/>
        <v>058</v>
      </c>
      <c r="J605" t="str">
        <f t="shared" si="147"/>
        <v>N</v>
      </c>
    </row>
    <row r="606" spans="1:10">
      <c r="A606" t="str">
        <f>"LE-010-27012"</f>
        <v>LE-010-27012</v>
      </c>
      <c r="B606" t="str">
        <f>"ACT"</f>
        <v>ACT</v>
      </c>
      <c r="C606" t="str">
        <f>"09"</f>
        <v>09</v>
      </c>
      <c r="D606" t="str">
        <f t="shared" si="144"/>
        <v>N/A</v>
      </c>
      <c r="E606" t="str">
        <f>"CML-1100072"</f>
        <v>CML-1100072</v>
      </c>
      <c r="F606" t="str">
        <f t="shared" si="145"/>
        <v>CM-500</v>
      </c>
      <c r="G606" t="str">
        <f t="shared" si="151"/>
        <v>ESD CONSTANT MONITOR</v>
      </c>
      <c r="H606" t="str">
        <f t="shared" si="150"/>
        <v>avazquez</v>
      </c>
      <c r="I606" t="str">
        <f t="shared" si="146"/>
        <v>058</v>
      </c>
      <c r="J606" t="str">
        <f t="shared" si="147"/>
        <v>N</v>
      </c>
    </row>
    <row r="607" spans="1:10">
      <c r="A607" t="str">
        <f>"LE-010-27031"</f>
        <v>LE-010-27031</v>
      </c>
      <c r="B607" t="str">
        <f>"INACT"</f>
        <v>INACT</v>
      </c>
      <c r="C607" t="str">
        <f>"04"</f>
        <v>04</v>
      </c>
      <c r="D607" t="str">
        <f t="shared" si="144"/>
        <v>N/A</v>
      </c>
      <c r="E607" t="str">
        <f>"CML-1100213"</f>
        <v>CML-1100213</v>
      </c>
      <c r="F607" t="str">
        <f t="shared" si="145"/>
        <v>CM-500</v>
      </c>
      <c r="G607" t="str">
        <f t="shared" si="151"/>
        <v>ESD CONSTANT MONITOR</v>
      </c>
      <c r="H607" t="str">
        <f t="shared" si="150"/>
        <v>avazquez</v>
      </c>
      <c r="I607" t="str">
        <f t="shared" si="146"/>
        <v>058</v>
      </c>
      <c r="J607" t="str">
        <f t="shared" si="147"/>
        <v>N</v>
      </c>
    </row>
    <row r="608" spans="1:10">
      <c r="A608" t="str">
        <f>"LE-010-27033"</f>
        <v>LE-010-27033</v>
      </c>
      <c r="B608" t="str">
        <f>"ACT"</f>
        <v>ACT</v>
      </c>
      <c r="C608" t="str">
        <f>"04"</f>
        <v>04</v>
      </c>
      <c r="D608" t="str">
        <f t="shared" si="144"/>
        <v>N/A</v>
      </c>
      <c r="E608" t="str">
        <f>"CML-1100215"</f>
        <v>CML-1100215</v>
      </c>
      <c r="F608" t="str">
        <f t="shared" si="145"/>
        <v>CM-500</v>
      </c>
      <c r="G608" t="str">
        <f t="shared" si="151"/>
        <v>ESD CONSTANT MONITOR</v>
      </c>
      <c r="H608" t="str">
        <f t="shared" si="150"/>
        <v>avazquez</v>
      </c>
      <c r="I608" t="str">
        <f t="shared" si="146"/>
        <v>058</v>
      </c>
      <c r="J608" t="str">
        <f t="shared" si="147"/>
        <v>N</v>
      </c>
    </row>
    <row r="609" spans="1:10">
      <c r="A609" t="str">
        <f>"LE-010-27035"</f>
        <v>LE-010-27035</v>
      </c>
      <c r="B609" t="str">
        <f>"ACT"</f>
        <v>ACT</v>
      </c>
      <c r="C609" t="str">
        <f>"36"</f>
        <v>36</v>
      </c>
      <c r="D609" t="str">
        <f t="shared" si="144"/>
        <v>N/A</v>
      </c>
      <c r="E609" t="str">
        <f>"CML-1100217"</f>
        <v>CML-1100217</v>
      </c>
      <c r="F609" t="str">
        <f t="shared" si="145"/>
        <v>CM-500</v>
      </c>
      <c r="G609" t="str">
        <f t="shared" si="151"/>
        <v>ESD CONSTANT MONITOR</v>
      </c>
      <c r="H609" t="str">
        <f>"zfernandez"</f>
        <v>zfernandez</v>
      </c>
      <c r="I609" t="str">
        <f t="shared" si="146"/>
        <v>058</v>
      </c>
      <c r="J609" t="str">
        <f t="shared" si="147"/>
        <v>N</v>
      </c>
    </row>
    <row r="610" spans="1:10">
      <c r="A610" t="str">
        <f>"LE-010-27039"</f>
        <v>LE-010-27039</v>
      </c>
      <c r="B610" t="str">
        <f>"ACT"</f>
        <v>ACT</v>
      </c>
      <c r="C610" t="str">
        <f>"08"</f>
        <v>08</v>
      </c>
      <c r="D610" t="str">
        <f t="shared" si="144"/>
        <v>N/A</v>
      </c>
      <c r="E610" t="str">
        <f>"CML-1100221"</f>
        <v>CML-1100221</v>
      </c>
      <c r="F610" t="str">
        <f t="shared" si="145"/>
        <v>CM-500</v>
      </c>
      <c r="G610" t="str">
        <f t="shared" si="151"/>
        <v>ESD CONSTANT MONITOR</v>
      </c>
      <c r="H610" t="str">
        <f t="shared" ref="H610:H622" si="152">"avazquez"</f>
        <v>avazquez</v>
      </c>
      <c r="I610" t="str">
        <f t="shared" si="146"/>
        <v>058</v>
      </c>
      <c r="J610" t="str">
        <f t="shared" si="147"/>
        <v>N</v>
      </c>
    </row>
    <row r="611" spans="1:10">
      <c r="A611" t="str">
        <f>"0350LD00"</f>
        <v>0350LD00</v>
      </c>
      <c r="B611" t="str">
        <f>"ACT"</f>
        <v>ACT</v>
      </c>
      <c r="C611" t="str">
        <f>"05"</f>
        <v>05</v>
      </c>
      <c r="D611" t="str">
        <f t="shared" si="144"/>
        <v>N/A</v>
      </c>
      <c r="E611" t="str">
        <f>"CML-1100219"</f>
        <v>CML-1100219</v>
      </c>
      <c r="F611" t="str">
        <f t="shared" si="145"/>
        <v>CM-500</v>
      </c>
      <c r="G611" t="str">
        <f t="shared" si="151"/>
        <v>ESD CONSTANT MONITOR</v>
      </c>
      <c r="H611" t="str">
        <f t="shared" si="152"/>
        <v>avazquez</v>
      </c>
      <c r="I611" t="str">
        <f t="shared" si="146"/>
        <v>058</v>
      </c>
      <c r="J611" t="str">
        <f t="shared" si="147"/>
        <v>N</v>
      </c>
    </row>
    <row r="612" spans="1:10">
      <c r="A612" t="str">
        <f>"LE-010-27072"</f>
        <v>LE-010-27072</v>
      </c>
      <c r="B612" t="str">
        <f>"INACT"</f>
        <v>INACT</v>
      </c>
      <c r="C612" t="str">
        <f t="shared" ref="C612:C621" si="153">"04"</f>
        <v>04</v>
      </c>
      <c r="D612" t="str">
        <f t="shared" si="144"/>
        <v>N/A</v>
      </c>
      <c r="E612" t="str">
        <f>"CML-1100012"</f>
        <v>CML-1100012</v>
      </c>
      <c r="F612" t="str">
        <f t="shared" si="145"/>
        <v>CM-500</v>
      </c>
      <c r="G612" t="str">
        <f t="shared" si="151"/>
        <v>ESD CONSTANT MONITOR</v>
      </c>
      <c r="H612" t="str">
        <f t="shared" si="152"/>
        <v>avazquez</v>
      </c>
      <c r="I612" t="str">
        <f t="shared" si="146"/>
        <v>058</v>
      </c>
      <c r="J612" t="str">
        <f t="shared" si="147"/>
        <v>N</v>
      </c>
    </row>
    <row r="613" spans="1:10">
      <c r="A613" t="str">
        <f>"LE-010-27083"</f>
        <v>LE-010-27083</v>
      </c>
      <c r="B613" t="str">
        <f>"INACT"</f>
        <v>INACT</v>
      </c>
      <c r="C613" t="str">
        <f t="shared" si="153"/>
        <v>04</v>
      </c>
      <c r="D613" t="str">
        <f t="shared" si="144"/>
        <v>N/A</v>
      </c>
      <c r="E613" t="str">
        <f>"CML-1100133"</f>
        <v>CML-1100133</v>
      </c>
      <c r="F613" t="str">
        <f t="shared" si="145"/>
        <v>CM-500</v>
      </c>
      <c r="G613" t="str">
        <f t="shared" si="151"/>
        <v>ESD CONSTANT MONITOR</v>
      </c>
      <c r="H613" t="str">
        <f t="shared" si="152"/>
        <v>avazquez</v>
      </c>
      <c r="I613" t="str">
        <f t="shared" si="146"/>
        <v>058</v>
      </c>
      <c r="J613" t="str">
        <f t="shared" si="147"/>
        <v>N</v>
      </c>
    </row>
    <row r="614" spans="1:10">
      <c r="A614" t="str">
        <f>"0350LD01"</f>
        <v>0350LD01</v>
      </c>
      <c r="B614" t="str">
        <f>"ACT"</f>
        <v>ACT</v>
      </c>
      <c r="C614" t="str">
        <f t="shared" si="153"/>
        <v>04</v>
      </c>
      <c r="D614" t="str">
        <f t="shared" si="144"/>
        <v>N/A</v>
      </c>
      <c r="E614" t="str">
        <f>"CML-1100150"</f>
        <v>CML-1100150</v>
      </c>
      <c r="F614" t="str">
        <f t="shared" si="145"/>
        <v>CM-500</v>
      </c>
      <c r="G614" t="str">
        <f t="shared" si="151"/>
        <v>ESD CONSTANT MONITOR</v>
      </c>
      <c r="H614" t="str">
        <f t="shared" si="152"/>
        <v>avazquez</v>
      </c>
      <c r="I614" t="str">
        <f t="shared" si="146"/>
        <v>058</v>
      </c>
      <c r="J614" t="str">
        <f t="shared" si="147"/>
        <v>N</v>
      </c>
    </row>
    <row r="615" spans="1:10">
      <c r="A615" t="str">
        <f>"LE-010-27099"</f>
        <v>LE-010-27099</v>
      </c>
      <c r="B615" t="str">
        <f>"ACT"</f>
        <v>ACT</v>
      </c>
      <c r="C615" t="str">
        <f t="shared" si="153"/>
        <v>04</v>
      </c>
      <c r="D615" t="str">
        <f t="shared" si="144"/>
        <v>N/A</v>
      </c>
      <c r="E615" t="str">
        <f>"CML-1100153"</f>
        <v>CML-1100153</v>
      </c>
      <c r="F615" t="str">
        <f t="shared" si="145"/>
        <v>CM-500</v>
      </c>
      <c r="G615" t="str">
        <f t="shared" si="151"/>
        <v>ESD CONSTANT MONITOR</v>
      </c>
      <c r="H615" t="str">
        <f t="shared" si="152"/>
        <v>avazquez</v>
      </c>
      <c r="I615" t="str">
        <f t="shared" si="146"/>
        <v>058</v>
      </c>
      <c r="J615" t="str">
        <f t="shared" si="147"/>
        <v>N</v>
      </c>
    </row>
    <row r="616" spans="1:10">
      <c r="A616" t="str">
        <f>"LE-010-27115"</f>
        <v>LE-010-27115</v>
      </c>
      <c r="B616" t="str">
        <f>"INACT"</f>
        <v>INACT</v>
      </c>
      <c r="C616" t="str">
        <f t="shared" si="153"/>
        <v>04</v>
      </c>
      <c r="D616" t="str">
        <f t="shared" si="144"/>
        <v>N/A</v>
      </c>
      <c r="E616" t="str">
        <f>"CML-1100281"</f>
        <v>CML-1100281</v>
      </c>
      <c r="F616" t="str">
        <f t="shared" si="145"/>
        <v>CM-500</v>
      </c>
      <c r="G616" t="str">
        <f t="shared" si="151"/>
        <v>ESD CONSTANT MONITOR</v>
      </c>
      <c r="H616" t="str">
        <f t="shared" si="152"/>
        <v>avazquez</v>
      </c>
      <c r="I616" t="str">
        <f t="shared" si="146"/>
        <v>058</v>
      </c>
      <c r="J616" t="str">
        <f t="shared" si="147"/>
        <v>N</v>
      </c>
    </row>
    <row r="617" spans="1:10">
      <c r="A617" t="str">
        <f>"LE-010-27165"</f>
        <v>LE-010-27165</v>
      </c>
      <c r="B617" t="str">
        <f>"ACT"</f>
        <v>ACT</v>
      </c>
      <c r="C617" t="str">
        <f t="shared" si="153"/>
        <v>04</v>
      </c>
      <c r="D617" t="str">
        <f t="shared" si="144"/>
        <v>N/A</v>
      </c>
      <c r="E617" t="str">
        <f>"CML-1100241"</f>
        <v>CML-1100241</v>
      </c>
      <c r="F617" t="str">
        <f t="shared" si="145"/>
        <v>CM-500</v>
      </c>
      <c r="G617" t="str">
        <f t="shared" si="151"/>
        <v>ESD CONSTANT MONITOR</v>
      </c>
      <c r="H617" t="str">
        <f t="shared" si="152"/>
        <v>avazquez</v>
      </c>
      <c r="I617" t="str">
        <f t="shared" si="146"/>
        <v>058</v>
      </c>
      <c r="J617" t="str">
        <f t="shared" si="147"/>
        <v>N</v>
      </c>
    </row>
    <row r="618" spans="1:10">
      <c r="A618" t="str">
        <f>"LE-010-27205"</f>
        <v>LE-010-27205</v>
      </c>
      <c r="B618" t="str">
        <f>"ACT"</f>
        <v>ACT</v>
      </c>
      <c r="C618" t="str">
        <f t="shared" si="153"/>
        <v>04</v>
      </c>
      <c r="D618" t="str">
        <f t="shared" si="144"/>
        <v>N/A</v>
      </c>
      <c r="E618" t="str">
        <f>"CML-1100173"</f>
        <v>CML-1100173</v>
      </c>
      <c r="F618" t="str">
        <f t="shared" si="145"/>
        <v>CM-500</v>
      </c>
      <c r="G618" t="str">
        <f t="shared" si="151"/>
        <v>ESD CONSTANT MONITOR</v>
      </c>
      <c r="H618" t="str">
        <f t="shared" si="152"/>
        <v>avazquez</v>
      </c>
      <c r="I618" t="str">
        <f t="shared" si="146"/>
        <v>058</v>
      </c>
      <c r="J618" t="str">
        <f t="shared" si="147"/>
        <v>N</v>
      </c>
    </row>
    <row r="619" spans="1:10">
      <c r="A619" t="str">
        <f>"LE-010-27008"</f>
        <v>LE-010-27008</v>
      </c>
      <c r="B619" t="str">
        <f>"INACT"</f>
        <v>INACT</v>
      </c>
      <c r="C619" t="str">
        <f t="shared" si="153"/>
        <v>04</v>
      </c>
      <c r="D619" t="str">
        <f t="shared" si="144"/>
        <v>N/A</v>
      </c>
      <c r="E619" t="str">
        <f>"CML-1100068"</f>
        <v>CML-1100068</v>
      </c>
      <c r="F619" t="str">
        <f t="shared" si="145"/>
        <v>CM-500</v>
      </c>
      <c r="G619" t="str">
        <f t="shared" si="151"/>
        <v>ESD CONSTANT MONITOR</v>
      </c>
      <c r="H619" t="str">
        <f t="shared" si="152"/>
        <v>avazquez</v>
      </c>
      <c r="I619" t="str">
        <f t="shared" si="146"/>
        <v>058</v>
      </c>
      <c r="J619" t="str">
        <f t="shared" si="147"/>
        <v>N</v>
      </c>
    </row>
    <row r="620" spans="1:10">
      <c r="A620" t="str">
        <f>"0322MD11"</f>
        <v>0322MD11</v>
      </c>
      <c r="B620" t="str">
        <f>"ACT"</f>
        <v>ACT</v>
      </c>
      <c r="C620" t="str">
        <f t="shared" si="153"/>
        <v>04</v>
      </c>
      <c r="D620" t="str">
        <f t="shared" si="144"/>
        <v>N/A</v>
      </c>
      <c r="E620" t="str">
        <f>"CML-1100105"</f>
        <v>CML-1100105</v>
      </c>
      <c r="F620" t="str">
        <f t="shared" si="145"/>
        <v>CM-500</v>
      </c>
      <c r="G620" t="str">
        <f t="shared" si="151"/>
        <v>ESD CONSTANT MONITOR</v>
      </c>
      <c r="H620" t="str">
        <f t="shared" si="152"/>
        <v>avazquez</v>
      </c>
      <c r="I620" t="str">
        <f t="shared" si="146"/>
        <v>058</v>
      </c>
      <c r="J620" t="str">
        <f t="shared" si="147"/>
        <v>N</v>
      </c>
    </row>
    <row r="621" spans="1:10">
      <c r="A621" t="str">
        <f>"0340QA00"</f>
        <v>0340QA00</v>
      </c>
      <c r="B621" t="str">
        <f>"INACT"</f>
        <v>INACT</v>
      </c>
      <c r="C621" t="str">
        <f t="shared" si="153"/>
        <v>04</v>
      </c>
      <c r="D621" t="str">
        <f t="shared" si="144"/>
        <v>N/A</v>
      </c>
      <c r="E621" t="str">
        <f>"CML-1100155"</f>
        <v>CML-1100155</v>
      </c>
      <c r="F621" t="str">
        <f t="shared" si="145"/>
        <v>CM-500</v>
      </c>
      <c r="G621" t="str">
        <f t="shared" si="151"/>
        <v>ESD CONSTANT MONITOR</v>
      </c>
      <c r="H621" t="str">
        <f t="shared" si="152"/>
        <v>avazquez</v>
      </c>
      <c r="I621" t="str">
        <f t="shared" si="146"/>
        <v>058</v>
      </c>
      <c r="J621" t="str">
        <f t="shared" si="147"/>
        <v>N</v>
      </c>
    </row>
    <row r="622" spans="1:10">
      <c r="A622" t="str">
        <f>"0322NT03"</f>
        <v>0322NT03</v>
      </c>
      <c r="B622" t="str">
        <f>"ACT"</f>
        <v>ACT</v>
      </c>
      <c r="C622" t="str">
        <f>"09"</f>
        <v>09</v>
      </c>
      <c r="D622" t="str">
        <f t="shared" si="144"/>
        <v>N/A</v>
      </c>
      <c r="E622" t="str">
        <f>"CML-1100193"</f>
        <v>CML-1100193</v>
      </c>
      <c r="F622" t="str">
        <f t="shared" si="145"/>
        <v>CM-500</v>
      </c>
      <c r="G622" t="str">
        <f>"ESD CONSTANT MONITOR -KITTING"</f>
        <v>ESD CONSTANT MONITOR -KITTING</v>
      </c>
      <c r="H622" t="str">
        <f t="shared" si="152"/>
        <v>avazquez</v>
      </c>
      <c r="I622" t="str">
        <f t="shared" si="146"/>
        <v>058</v>
      </c>
      <c r="J622" t="str">
        <f t="shared" si="147"/>
        <v>N</v>
      </c>
    </row>
    <row r="623" spans="1:10">
      <c r="A623" t="str">
        <f>"0322MD10"</f>
        <v>0322MD10</v>
      </c>
      <c r="B623" t="str">
        <f>"INACT"</f>
        <v>INACT</v>
      </c>
      <c r="C623" t="str">
        <f>"19"</f>
        <v>19</v>
      </c>
      <c r="D623" t="str">
        <f t="shared" si="144"/>
        <v>N/A</v>
      </c>
      <c r="E623" t="str">
        <f>"CML-1100259"</f>
        <v>CML-1100259</v>
      </c>
      <c r="F623" t="str">
        <f t="shared" si="145"/>
        <v>CM-500</v>
      </c>
      <c r="G623" t="str">
        <f>"ESD CONSTANT MONITOR"</f>
        <v>ESD CONSTANT MONITOR</v>
      </c>
      <c r="H623" t="str">
        <f>"zfernandez"</f>
        <v>zfernandez</v>
      </c>
      <c r="I623" t="str">
        <f t="shared" si="146"/>
        <v>058</v>
      </c>
      <c r="J623" t="str">
        <f t="shared" si="147"/>
        <v>N</v>
      </c>
    </row>
    <row r="624" spans="1:10">
      <c r="A624" t="str">
        <f>"0347LD01"</f>
        <v>0347LD01</v>
      </c>
      <c r="B624" t="str">
        <f>"ACT"</f>
        <v>ACT</v>
      </c>
      <c r="C624" t="str">
        <f>"04"</f>
        <v>04</v>
      </c>
      <c r="D624" t="str">
        <f t="shared" si="144"/>
        <v>N/A</v>
      </c>
      <c r="E624" t="str">
        <f>"CML-1100279"</f>
        <v>CML-1100279</v>
      </c>
      <c r="F624" t="str">
        <f t="shared" si="145"/>
        <v>CM-500</v>
      </c>
      <c r="G624" t="str">
        <f>"ESD CONSTANT MONITOR"</f>
        <v>ESD CONSTANT MONITOR</v>
      </c>
      <c r="H624" t="str">
        <f>"avazquez"</f>
        <v>avazquez</v>
      </c>
      <c r="I624" t="str">
        <f t="shared" si="146"/>
        <v>058</v>
      </c>
      <c r="J624" t="str">
        <f t="shared" si="147"/>
        <v>N</v>
      </c>
    </row>
    <row r="625" spans="1:10">
      <c r="A625" t="str">
        <f>"LE-010-27166"</f>
        <v>LE-010-27166</v>
      </c>
      <c r="B625" t="str">
        <f>"ACT"</f>
        <v>ACT</v>
      </c>
      <c r="C625" t="str">
        <f>"09"</f>
        <v>09</v>
      </c>
      <c r="D625" t="str">
        <f t="shared" si="144"/>
        <v>N/A</v>
      </c>
      <c r="E625" t="str">
        <f>"CML-1100242"</f>
        <v>CML-1100242</v>
      </c>
      <c r="F625" t="str">
        <f t="shared" si="145"/>
        <v>CM-500</v>
      </c>
      <c r="G625" t="str">
        <f>"ESD CONSTANT MONITOR- FLEX ATTACH"</f>
        <v>ESD CONSTANT MONITOR- FLEX ATTACH</v>
      </c>
      <c r="H625" t="str">
        <f>"avazquez"</f>
        <v>avazquez</v>
      </c>
      <c r="I625" t="str">
        <f t="shared" si="146"/>
        <v>058</v>
      </c>
      <c r="J625" t="str">
        <f t="shared" si="147"/>
        <v>N</v>
      </c>
    </row>
    <row r="626" spans="1:10">
      <c r="A626" t="str">
        <f>"LE-010-27011"</f>
        <v>LE-010-27011</v>
      </c>
      <c r="B626" t="str">
        <f>"INACT"</f>
        <v>INACT</v>
      </c>
      <c r="C626" t="str">
        <f>"19"</f>
        <v>19</v>
      </c>
      <c r="D626" t="str">
        <f t="shared" si="144"/>
        <v>N/A</v>
      </c>
      <c r="E626" t="str">
        <f>"CML-1100071"</f>
        <v>CML-1100071</v>
      </c>
      <c r="F626" t="str">
        <f t="shared" si="145"/>
        <v>CM-500</v>
      </c>
      <c r="G626" t="str">
        <f t="shared" ref="G626:G657" si="154">"ESD CONSTANT MONITOR"</f>
        <v>ESD CONSTANT MONITOR</v>
      </c>
      <c r="H626" t="str">
        <f>"zfernandez"</f>
        <v>zfernandez</v>
      </c>
      <c r="I626" t="str">
        <f t="shared" si="146"/>
        <v>058</v>
      </c>
      <c r="J626" t="str">
        <f t="shared" si="147"/>
        <v>N</v>
      </c>
    </row>
    <row r="627" spans="1:10">
      <c r="A627" t="str">
        <f>"LE-010-26580"</f>
        <v>LE-010-26580</v>
      </c>
      <c r="B627" t="str">
        <f>"INACT"</f>
        <v>INACT</v>
      </c>
      <c r="C627" t="str">
        <f>"19"</f>
        <v>19</v>
      </c>
      <c r="D627" t="str">
        <f t="shared" si="144"/>
        <v>N/A</v>
      </c>
      <c r="E627" t="str">
        <f>"CML-1100017"</f>
        <v>CML-1100017</v>
      </c>
      <c r="F627" t="str">
        <f t="shared" si="145"/>
        <v>CM-500</v>
      </c>
      <c r="G627" t="str">
        <f t="shared" si="154"/>
        <v>ESD CONSTANT MONITOR</v>
      </c>
      <c r="H627" t="str">
        <f>"avazquez"</f>
        <v>avazquez</v>
      </c>
      <c r="I627" t="str">
        <f t="shared" si="146"/>
        <v>058</v>
      </c>
      <c r="J627" t="str">
        <f t="shared" si="147"/>
        <v>N</v>
      </c>
    </row>
    <row r="628" spans="1:10">
      <c r="A628" t="str">
        <f>"LE-010-26605"</f>
        <v>LE-010-26605</v>
      </c>
      <c r="B628" t="str">
        <f>"ACT"</f>
        <v>ACT</v>
      </c>
      <c r="C628" t="str">
        <f>"04"</f>
        <v>04</v>
      </c>
      <c r="D628" t="str">
        <f t="shared" si="144"/>
        <v>N/A</v>
      </c>
      <c r="E628" t="str">
        <f>"CML-1100087"</f>
        <v>CML-1100087</v>
      </c>
      <c r="F628" t="str">
        <f t="shared" si="145"/>
        <v>CM-500</v>
      </c>
      <c r="G628" t="str">
        <f t="shared" si="154"/>
        <v>ESD CONSTANT MONITOR</v>
      </c>
      <c r="H628" t="str">
        <f>"avazquez"</f>
        <v>avazquez</v>
      </c>
      <c r="I628" t="str">
        <f t="shared" si="146"/>
        <v>058</v>
      </c>
      <c r="J628" t="str">
        <f t="shared" si="147"/>
        <v>N</v>
      </c>
    </row>
    <row r="629" spans="1:10">
      <c r="A629" t="str">
        <f>"LE-010-27006"</f>
        <v>LE-010-27006</v>
      </c>
      <c r="B629" t="str">
        <f>"ACT"</f>
        <v>ACT</v>
      </c>
      <c r="C629" t="str">
        <f>"30"</f>
        <v>30</v>
      </c>
      <c r="D629" t="str">
        <f t="shared" si="144"/>
        <v>N/A</v>
      </c>
      <c r="E629" t="str">
        <f>"CML-1100066"</f>
        <v>CML-1100066</v>
      </c>
      <c r="F629" t="str">
        <f t="shared" si="145"/>
        <v>CM-500</v>
      </c>
      <c r="G629" t="str">
        <f t="shared" si="154"/>
        <v>ESD CONSTANT MONITOR</v>
      </c>
      <c r="H629" t="str">
        <f>"avazquez"</f>
        <v>avazquez</v>
      </c>
      <c r="I629" t="str">
        <f t="shared" si="146"/>
        <v>058</v>
      </c>
      <c r="J629" t="str">
        <f t="shared" si="147"/>
        <v>N</v>
      </c>
    </row>
    <row r="630" spans="1:10">
      <c r="A630" t="str">
        <f>"LE-010-27044"</f>
        <v>LE-010-27044</v>
      </c>
      <c r="B630" t="str">
        <f>"INACT"</f>
        <v>INACT</v>
      </c>
      <c r="C630" t="str">
        <f>"19"</f>
        <v>19</v>
      </c>
      <c r="D630" t="str">
        <f t="shared" si="144"/>
        <v>N/A</v>
      </c>
      <c r="E630" t="str">
        <f>"CML-1100226"</f>
        <v>CML-1100226</v>
      </c>
      <c r="F630" t="str">
        <f t="shared" si="145"/>
        <v>CM-500</v>
      </c>
      <c r="G630" t="str">
        <f t="shared" si="154"/>
        <v>ESD CONSTANT MONITOR</v>
      </c>
      <c r="H630" t="str">
        <f>"zfernandez"</f>
        <v>zfernandez</v>
      </c>
      <c r="I630" t="str">
        <f t="shared" si="146"/>
        <v>058</v>
      </c>
      <c r="J630" t="str">
        <f t="shared" si="147"/>
        <v>N</v>
      </c>
    </row>
    <row r="631" spans="1:10">
      <c r="A631" t="str">
        <f>"0347LD02"</f>
        <v>0347LD02</v>
      </c>
      <c r="B631" t="str">
        <f t="shared" ref="B631:B636" si="155">"ACT"</f>
        <v>ACT</v>
      </c>
      <c r="C631" t="str">
        <f>"04"</f>
        <v>04</v>
      </c>
      <c r="D631" t="str">
        <f t="shared" si="144"/>
        <v>N/A</v>
      </c>
      <c r="E631" t="str">
        <f>"CML-1100118"</f>
        <v>CML-1100118</v>
      </c>
      <c r="F631" t="str">
        <f t="shared" si="145"/>
        <v>CM-500</v>
      </c>
      <c r="G631" t="str">
        <f t="shared" si="154"/>
        <v>ESD CONSTANT MONITOR</v>
      </c>
      <c r="H631" t="str">
        <f t="shared" ref="H631:H642" si="156">"avazquez"</f>
        <v>avazquez</v>
      </c>
      <c r="I631" t="str">
        <f t="shared" si="146"/>
        <v>058</v>
      </c>
      <c r="J631" t="str">
        <f t="shared" si="147"/>
        <v>N</v>
      </c>
    </row>
    <row r="632" spans="1:10">
      <c r="A632" t="str">
        <f>"LE-010-26612"</f>
        <v>LE-010-26612</v>
      </c>
      <c r="B632" t="str">
        <f t="shared" si="155"/>
        <v>ACT</v>
      </c>
      <c r="C632" t="str">
        <f>"34"</f>
        <v>34</v>
      </c>
      <c r="D632" t="str">
        <f t="shared" si="144"/>
        <v>N/A</v>
      </c>
      <c r="E632" t="str">
        <f>"CML-1100094"</f>
        <v>CML-1100094</v>
      </c>
      <c r="F632" t="str">
        <f t="shared" si="145"/>
        <v>CM-500</v>
      </c>
      <c r="G632" t="str">
        <f t="shared" si="154"/>
        <v>ESD CONSTANT MONITOR</v>
      </c>
      <c r="H632" t="str">
        <f t="shared" si="156"/>
        <v>avazquez</v>
      </c>
      <c r="I632" t="str">
        <f t="shared" si="146"/>
        <v>058</v>
      </c>
      <c r="J632" t="str">
        <f t="shared" si="147"/>
        <v>N</v>
      </c>
    </row>
    <row r="633" spans="1:10">
      <c r="A633" t="str">
        <f>"LE-010-27132"</f>
        <v>LE-010-27132</v>
      </c>
      <c r="B633" t="str">
        <f t="shared" si="155"/>
        <v>ACT</v>
      </c>
      <c r="C633" t="str">
        <f>"04"</f>
        <v>04</v>
      </c>
      <c r="D633" t="str">
        <f t="shared" si="144"/>
        <v>N/A</v>
      </c>
      <c r="E633" t="str">
        <f>"CML-1100232"</f>
        <v>CML-1100232</v>
      </c>
      <c r="F633" t="str">
        <f t="shared" si="145"/>
        <v>CM-500</v>
      </c>
      <c r="G633" t="str">
        <f t="shared" si="154"/>
        <v>ESD CONSTANT MONITOR</v>
      </c>
      <c r="H633" t="str">
        <f t="shared" si="156"/>
        <v>avazquez</v>
      </c>
      <c r="I633" t="str">
        <f t="shared" si="146"/>
        <v>058</v>
      </c>
      <c r="J633" t="str">
        <f t="shared" si="147"/>
        <v>N</v>
      </c>
    </row>
    <row r="634" spans="1:10">
      <c r="A634" t="str">
        <f>"LE-010-26644"</f>
        <v>LE-010-26644</v>
      </c>
      <c r="B634" t="str">
        <f t="shared" si="155"/>
        <v>ACT</v>
      </c>
      <c r="C634" t="str">
        <f>"04"</f>
        <v>04</v>
      </c>
      <c r="D634" t="str">
        <f t="shared" si="144"/>
        <v>N/A</v>
      </c>
      <c r="E634" t="str">
        <f>"CML-1100129"</f>
        <v>CML-1100129</v>
      </c>
      <c r="F634" t="str">
        <f t="shared" si="145"/>
        <v>CM-500</v>
      </c>
      <c r="G634" t="str">
        <f t="shared" si="154"/>
        <v>ESD CONSTANT MONITOR</v>
      </c>
      <c r="H634" t="str">
        <f t="shared" si="156"/>
        <v>avazquez</v>
      </c>
      <c r="I634" t="str">
        <f t="shared" si="146"/>
        <v>058</v>
      </c>
      <c r="J634" t="str">
        <f t="shared" si="147"/>
        <v>N</v>
      </c>
    </row>
    <row r="635" spans="1:10">
      <c r="A635" t="str">
        <f>"LE-010-26595"</f>
        <v>LE-010-26595</v>
      </c>
      <c r="B635" t="str">
        <f t="shared" si="155"/>
        <v>ACT</v>
      </c>
      <c r="C635" t="str">
        <f>"04"</f>
        <v>04</v>
      </c>
      <c r="D635" t="str">
        <f t="shared" si="144"/>
        <v>N/A</v>
      </c>
      <c r="E635" t="str">
        <f>"CML-1100077"</f>
        <v>CML-1100077</v>
      </c>
      <c r="F635" t="str">
        <f t="shared" si="145"/>
        <v>CM-500</v>
      </c>
      <c r="G635" t="str">
        <f t="shared" si="154"/>
        <v>ESD CONSTANT MONITOR</v>
      </c>
      <c r="H635" t="str">
        <f t="shared" si="156"/>
        <v>avazquez</v>
      </c>
      <c r="I635" t="str">
        <f t="shared" si="146"/>
        <v>058</v>
      </c>
      <c r="J635" t="str">
        <f t="shared" si="147"/>
        <v>N</v>
      </c>
    </row>
    <row r="636" spans="1:10">
      <c r="A636" t="str">
        <f>"LE-010-27059"</f>
        <v>LE-010-27059</v>
      </c>
      <c r="B636" t="str">
        <f t="shared" si="155"/>
        <v>ACT</v>
      </c>
      <c r="C636" t="str">
        <f>"05"</f>
        <v>05</v>
      </c>
      <c r="D636" t="str">
        <f t="shared" si="144"/>
        <v>N/A</v>
      </c>
      <c r="E636" t="str">
        <f>"CML-1100035"</f>
        <v>CML-1100035</v>
      </c>
      <c r="F636" t="str">
        <f t="shared" si="145"/>
        <v>CM-500</v>
      </c>
      <c r="G636" t="str">
        <f t="shared" si="154"/>
        <v>ESD CONSTANT MONITOR</v>
      </c>
      <c r="H636" t="str">
        <f t="shared" si="156"/>
        <v>avazquez</v>
      </c>
      <c r="I636" t="str">
        <f t="shared" si="146"/>
        <v>058</v>
      </c>
      <c r="J636" t="str">
        <f t="shared" si="147"/>
        <v>N</v>
      </c>
    </row>
    <row r="637" spans="1:10">
      <c r="A637" t="str">
        <f>"LE-010-26998"</f>
        <v>LE-010-26998</v>
      </c>
      <c r="B637" t="str">
        <f>"INACT"</f>
        <v>INACT</v>
      </c>
      <c r="C637" t="str">
        <f>"19"</f>
        <v>19</v>
      </c>
      <c r="D637" t="str">
        <f t="shared" si="144"/>
        <v>N/A</v>
      </c>
      <c r="E637" t="str">
        <f>"CML-1100172"</f>
        <v>CML-1100172</v>
      </c>
      <c r="F637" t="str">
        <f t="shared" si="145"/>
        <v>CM-500</v>
      </c>
      <c r="G637" t="str">
        <f t="shared" si="154"/>
        <v>ESD CONSTANT MONITOR</v>
      </c>
      <c r="H637" t="str">
        <f t="shared" si="156"/>
        <v>avazquez</v>
      </c>
      <c r="I637" t="str">
        <f t="shared" si="146"/>
        <v>058</v>
      </c>
      <c r="J637" t="str">
        <f t="shared" si="147"/>
        <v>N</v>
      </c>
    </row>
    <row r="638" spans="1:10">
      <c r="A638" t="str">
        <f>"LE-010-26642"</f>
        <v>LE-010-26642</v>
      </c>
      <c r="B638" t="str">
        <f>"ACT"</f>
        <v>ACT</v>
      </c>
      <c r="C638" t="str">
        <f>"07"</f>
        <v>07</v>
      </c>
      <c r="D638" t="str">
        <f t="shared" si="144"/>
        <v>N/A</v>
      </c>
      <c r="E638" t="str">
        <f>"CML-1100127"</f>
        <v>CML-1100127</v>
      </c>
      <c r="F638" t="str">
        <f t="shared" si="145"/>
        <v>CM-500</v>
      </c>
      <c r="G638" t="str">
        <f t="shared" si="154"/>
        <v>ESD CONSTANT MONITOR</v>
      </c>
      <c r="H638" t="str">
        <f t="shared" si="156"/>
        <v>avazquez</v>
      </c>
      <c r="I638" t="str">
        <f t="shared" si="146"/>
        <v>058</v>
      </c>
      <c r="J638" t="str">
        <f t="shared" si="147"/>
        <v>N</v>
      </c>
    </row>
    <row r="639" spans="1:10">
      <c r="A639" t="str">
        <f>"LE-010-26641"</f>
        <v>LE-010-26641</v>
      </c>
      <c r="B639" t="str">
        <f>"ACT"</f>
        <v>ACT</v>
      </c>
      <c r="C639" t="str">
        <f>"07"</f>
        <v>07</v>
      </c>
      <c r="D639" t="str">
        <f t="shared" si="144"/>
        <v>N/A</v>
      </c>
      <c r="E639" t="str">
        <f>"CML-1100126"</f>
        <v>CML-1100126</v>
      </c>
      <c r="F639" t="str">
        <f t="shared" si="145"/>
        <v>CM-500</v>
      </c>
      <c r="G639" t="str">
        <f t="shared" si="154"/>
        <v>ESD CONSTANT MONITOR</v>
      </c>
      <c r="H639" t="str">
        <f t="shared" si="156"/>
        <v>avazquez</v>
      </c>
      <c r="I639" t="str">
        <f t="shared" si="146"/>
        <v>058</v>
      </c>
      <c r="J639" t="str">
        <f t="shared" si="147"/>
        <v>N</v>
      </c>
    </row>
    <row r="640" spans="1:10">
      <c r="A640" t="str">
        <f>"LE-010-26535"</f>
        <v>LE-010-26535</v>
      </c>
      <c r="B640" t="str">
        <f>"ACT"</f>
        <v>ACT</v>
      </c>
      <c r="C640" t="str">
        <f>"07"</f>
        <v>07</v>
      </c>
      <c r="D640" t="str">
        <f t="shared" ref="D640:D657" si="157">"N/A"</f>
        <v>N/A</v>
      </c>
      <c r="E640" t="str">
        <f>"CML-1100055"</f>
        <v>CML-1100055</v>
      </c>
      <c r="F640" t="str">
        <f t="shared" ref="F640:F657" si="158">"CM-500"</f>
        <v>CM-500</v>
      </c>
      <c r="G640" t="str">
        <f t="shared" si="154"/>
        <v>ESD CONSTANT MONITOR</v>
      </c>
      <c r="H640" t="str">
        <f t="shared" si="156"/>
        <v>avazquez</v>
      </c>
      <c r="I640" t="str">
        <f t="shared" ref="I640:I657" si="159">"058"</f>
        <v>058</v>
      </c>
      <c r="J640" t="str">
        <f t="shared" si="147"/>
        <v>N</v>
      </c>
    </row>
    <row r="641" spans="1:10">
      <c r="A641" t="str">
        <f>"LE-010-26608"</f>
        <v>LE-010-26608</v>
      </c>
      <c r="B641" t="str">
        <f>"ACT"</f>
        <v>ACT</v>
      </c>
      <c r="C641" t="str">
        <f>"07"</f>
        <v>07</v>
      </c>
      <c r="D641" t="str">
        <f t="shared" si="157"/>
        <v>N/A</v>
      </c>
      <c r="E641" t="str">
        <f>"CML-1100090"</f>
        <v>CML-1100090</v>
      </c>
      <c r="F641" t="str">
        <f t="shared" si="158"/>
        <v>CM-500</v>
      </c>
      <c r="G641" t="str">
        <f t="shared" si="154"/>
        <v>ESD CONSTANT MONITOR</v>
      </c>
      <c r="H641" t="str">
        <f t="shared" si="156"/>
        <v>avazquez</v>
      </c>
      <c r="I641" t="str">
        <f t="shared" si="159"/>
        <v>058</v>
      </c>
      <c r="J641" t="str">
        <f t="shared" si="147"/>
        <v>N</v>
      </c>
    </row>
    <row r="642" spans="1:10">
      <c r="A642" t="str">
        <f>"LE-010-26532"</f>
        <v>LE-010-26532</v>
      </c>
      <c r="B642" t="str">
        <f>"ACT"</f>
        <v>ACT</v>
      </c>
      <c r="C642" t="str">
        <f>"07"</f>
        <v>07</v>
      </c>
      <c r="D642" t="str">
        <f t="shared" si="157"/>
        <v>N/A</v>
      </c>
      <c r="E642" t="str">
        <f>"CML-1100052"</f>
        <v>CML-1100052</v>
      </c>
      <c r="F642" t="str">
        <f t="shared" si="158"/>
        <v>CM-500</v>
      </c>
      <c r="G642" t="str">
        <f t="shared" si="154"/>
        <v>ESD CONSTANT MONITOR</v>
      </c>
      <c r="H642" t="str">
        <f t="shared" si="156"/>
        <v>avazquez</v>
      </c>
      <c r="I642" t="str">
        <f t="shared" si="159"/>
        <v>058</v>
      </c>
      <c r="J642" t="str">
        <f t="shared" si="147"/>
        <v>N</v>
      </c>
    </row>
    <row r="643" spans="1:10">
      <c r="A643" t="str">
        <f>"0322MD13"</f>
        <v>0322MD13</v>
      </c>
      <c r="B643" t="str">
        <f>"INACT"</f>
        <v>INACT</v>
      </c>
      <c r="C643" t="str">
        <f>"30"</f>
        <v>30</v>
      </c>
      <c r="D643" t="str">
        <f t="shared" si="157"/>
        <v>N/A</v>
      </c>
      <c r="E643" t="str">
        <f>"CML-1100157"</f>
        <v>CML-1100157</v>
      </c>
      <c r="F643" t="str">
        <f t="shared" si="158"/>
        <v>CM-500</v>
      </c>
      <c r="G643" t="str">
        <f t="shared" si="154"/>
        <v>ESD CONSTANT MONITOR</v>
      </c>
      <c r="H643" t="str">
        <f>"gbejar"</f>
        <v>gbejar</v>
      </c>
      <c r="I643" t="str">
        <f t="shared" si="159"/>
        <v>058</v>
      </c>
      <c r="J643" t="str">
        <f t="shared" si="147"/>
        <v>N</v>
      </c>
    </row>
    <row r="644" spans="1:10">
      <c r="A644" t="str">
        <f>"0322MD14"</f>
        <v>0322MD14</v>
      </c>
      <c r="B644" t="str">
        <f>"INACT"</f>
        <v>INACT</v>
      </c>
      <c r="C644" t="str">
        <f>"03"</f>
        <v>03</v>
      </c>
      <c r="D644" t="str">
        <f t="shared" si="157"/>
        <v>N/A</v>
      </c>
      <c r="E644" t="str">
        <f>"CML-1100162"</f>
        <v>CML-1100162</v>
      </c>
      <c r="F644" t="str">
        <f t="shared" si="158"/>
        <v>CM-500</v>
      </c>
      <c r="G644" t="str">
        <f t="shared" si="154"/>
        <v>ESD CONSTANT MONITOR</v>
      </c>
      <c r="H644" t="str">
        <f>"avazquez"</f>
        <v>avazquez</v>
      </c>
      <c r="I644" t="str">
        <f t="shared" si="159"/>
        <v>058</v>
      </c>
      <c r="J644" t="str">
        <f t="shared" si="147"/>
        <v>N</v>
      </c>
    </row>
    <row r="645" spans="1:10">
      <c r="A645" t="str">
        <f>"LE-010-26570"</f>
        <v>LE-010-26570</v>
      </c>
      <c r="B645" t="str">
        <f>"ACT"</f>
        <v>ACT</v>
      </c>
      <c r="C645" t="str">
        <f>"30"</f>
        <v>30</v>
      </c>
      <c r="D645" t="str">
        <f t="shared" si="157"/>
        <v>N/A</v>
      </c>
      <c r="E645" t="str">
        <f>"CML-1100115"</f>
        <v>CML-1100115</v>
      </c>
      <c r="F645" t="str">
        <f t="shared" si="158"/>
        <v>CM-500</v>
      </c>
      <c r="G645" t="str">
        <f t="shared" si="154"/>
        <v>ESD CONSTANT MONITOR</v>
      </c>
      <c r="H645" t="str">
        <f>"gbejar"</f>
        <v>gbejar</v>
      </c>
      <c r="I645" t="str">
        <f t="shared" si="159"/>
        <v>058</v>
      </c>
      <c r="J645" t="str">
        <f t="shared" si="147"/>
        <v>N</v>
      </c>
    </row>
    <row r="646" spans="1:10">
      <c r="A646" t="str">
        <f>"LE-010-27080"</f>
        <v>LE-010-27080</v>
      </c>
      <c r="B646" t="str">
        <f>"ACT"</f>
        <v>ACT</v>
      </c>
      <c r="C646" t="str">
        <f>"27"</f>
        <v>27</v>
      </c>
      <c r="D646" t="str">
        <f t="shared" si="157"/>
        <v>N/A</v>
      </c>
      <c r="E646" t="str">
        <f>"CML-1100044"</f>
        <v>CML-1100044</v>
      </c>
      <c r="F646" t="str">
        <f t="shared" si="158"/>
        <v>CM-500</v>
      </c>
      <c r="G646" t="str">
        <f t="shared" si="154"/>
        <v>ESD CONSTANT MONITOR</v>
      </c>
      <c r="H646" t="str">
        <f>"avazquez"</f>
        <v>avazquez</v>
      </c>
      <c r="I646" t="str">
        <f t="shared" si="159"/>
        <v>058</v>
      </c>
      <c r="J646" t="str">
        <f t="shared" si="147"/>
        <v>N</v>
      </c>
    </row>
    <row r="647" spans="1:10">
      <c r="A647" t="str">
        <f>"LE-010-27202"</f>
        <v>LE-010-27202</v>
      </c>
      <c r="B647" t="str">
        <f>"INACT"</f>
        <v>INACT</v>
      </c>
      <c r="C647" t="str">
        <f>"03"</f>
        <v>03</v>
      </c>
      <c r="D647" t="str">
        <f t="shared" si="157"/>
        <v>N/A</v>
      </c>
      <c r="E647" t="str">
        <f>"CML-1100175"</f>
        <v>CML-1100175</v>
      </c>
      <c r="F647" t="str">
        <f t="shared" si="158"/>
        <v>CM-500</v>
      </c>
      <c r="G647" t="str">
        <f t="shared" si="154"/>
        <v>ESD CONSTANT MONITOR</v>
      </c>
      <c r="H647" t="str">
        <f>"avazquez"</f>
        <v>avazquez</v>
      </c>
      <c r="I647" t="str">
        <f t="shared" si="159"/>
        <v>058</v>
      </c>
      <c r="J647" t="str">
        <f t="shared" ref="J647:J710" si="160">"N"</f>
        <v>N</v>
      </c>
    </row>
    <row r="648" spans="1:10">
      <c r="A648" t="str">
        <f>"LE-010-27203"</f>
        <v>LE-010-27203</v>
      </c>
      <c r="B648" t="str">
        <f>"ACT"</f>
        <v>ACT</v>
      </c>
      <c r="C648" t="str">
        <f>"27"</f>
        <v>27</v>
      </c>
      <c r="D648" t="str">
        <f t="shared" si="157"/>
        <v>N/A</v>
      </c>
      <c r="E648" t="str">
        <f>"CML-1100171"</f>
        <v>CML-1100171</v>
      </c>
      <c r="F648" t="str">
        <f t="shared" si="158"/>
        <v>CM-500</v>
      </c>
      <c r="G648" t="str">
        <f t="shared" si="154"/>
        <v>ESD CONSTANT MONITOR</v>
      </c>
      <c r="H648" t="str">
        <f>"avazquez"</f>
        <v>avazquez</v>
      </c>
      <c r="I648" t="str">
        <f t="shared" si="159"/>
        <v>058</v>
      </c>
      <c r="J648" t="str">
        <f t="shared" si="160"/>
        <v>N</v>
      </c>
    </row>
    <row r="649" spans="1:10">
      <c r="A649" t="str">
        <f>"LE-010-27082"</f>
        <v>LE-010-27082</v>
      </c>
      <c r="B649" t="str">
        <f>"INACT"</f>
        <v>INACT</v>
      </c>
      <c r="C649" t="str">
        <f>"30"</f>
        <v>30</v>
      </c>
      <c r="D649" t="str">
        <f t="shared" si="157"/>
        <v>N/A</v>
      </c>
      <c r="E649" t="str">
        <f>"CML-1100046"</f>
        <v>CML-1100046</v>
      </c>
      <c r="F649" t="str">
        <f t="shared" si="158"/>
        <v>CM-500</v>
      </c>
      <c r="G649" t="str">
        <f t="shared" si="154"/>
        <v>ESD CONSTANT MONITOR</v>
      </c>
      <c r="H649" t="str">
        <f>"gbejar"</f>
        <v>gbejar</v>
      </c>
      <c r="I649" t="str">
        <f t="shared" si="159"/>
        <v>058</v>
      </c>
      <c r="J649" t="str">
        <f t="shared" si="160"/>
        <v>N</v>
      </c>
    </row>
    <row r="650" spans="1:10">
      <c r="A650" t="str">
        <f>"LE-010-26630"</f>
        <v>LE-010-26630</v>
      </c>
      <c r="B650" t="str">
        <f>"INACT"</f>
        <v>INACT</v>
      </c>
      <c r="C650" t="str">
        <f>"03"</f>
        <v>03</v>
      </c>
      <c r="D650" t="str">
        <f t="shared" si="157"/>
        <v>N/A</v>
      </c>
      <c r="E650" t="str">
        <f>"CML-1100109"</f>
        <v>CML-1100109</v>
      </c>
      <c r="F650" t="str">
        <f t="shared" si="158"/>
        <v>CM-500</v>
      </c>
      <c r="G650" t="str">
        <f t="shared" si="154"/>
        <v>ESD CONSTANT MONITOR</v>
      </c>
      <c r="H650" t="str">
        <f>"avazquez"</f>
        <v>avazquez</v>
      </c>
      <c r="I650" t="str">
        <f t="shared" si="159"/>
        <v>058</v>
      </c>
      <c r="J650" t="str">
        <f t="shared" si="160"/>
        <v>N</v>
      </c>
    </row>
    <row r="651" spans="1:10">
      <c r="A651" t="str">
        <f>"LE-010-27138"</f>
        <v>LE-010-27138</v>
      </c>
      <c r="B651" t="str">
        <f>"INACT"</f>
        <v>INACT</v>
      </c>
      <c r="C651" t="str">
        <f>"19"</f>
        <v>19</v>
      </c>
      <c r="D651" t="str">
        <f t="shared" si="157"/>
        <v>N/A</v>
      </c>
      <c r="E651" t="str">
        <f>"CML-1100238"</f>
        <v>CML-1100238</v>
      </c>
      <c r="F651" t="str">
        <f t="shared" si="158"/>
        <v>CM-500</v>
      </c>
      <c r="G651" t="str">
        <f t="shared" si="154"/>
        <v>ESD CONSTANT MONITOR</v>
      </c>
      <c r="H651" t="str">
        <f>"avazquez"</f>
        <v>avazquez</v>
      </c>
      <c r="I651" t="str">
        <f t="shared" si="159"/>
        <v>058</v>
      </c>
      <c r="J651" t="str">
        <f t="shared" si="160"/>
        <v>N</v>
      </c>
    </row>
    <row r="652" spans="1:10">
      <c r="A652" t="str">
        <f>"LE-010-26589"</f>
        <v>LE-010-26589</v>
      </c>
      <c r="B652" t="str">
        <f>"INACT"</f>
        <v>INACT</v>
      </c>
      <c r="C652" t="str">
        <f>"30"</f>
        <v>30</v>
      </c>
      <c r="D652" t="str">
        <f t="shared" si="157"/>
        <v>N/A</v>
      </c>
      <c r="E652" t="str">
        <f>"CML-1100107"</f>
        <v>CML-1100107</v>
      </c>
      <c r="F652" t="str">
        <f t="shared" si="158"/>
        <v>CM-500</v>
      </c>
      <c r="G652" t="str">
        <f t="shared" si="154"/>
        <v>ESD CONSTANT MONITOR</v>
      </c>
      <c r="H652" t="str">
        <f>"gbejar"</f>
        <v>gbejar</v>
      </c>
      <c r="I652" t="str">
        <f t="shared" si="159"/>
        <v>058</v>
      </c>
      <c r="J652" t="str">
        <f t="shared" si="160"/>
        <v>N</v>
      </c>
    </row>
    <row r="653" spans="1:10">
      <c r="A653" t="str">
        <f>"LE-010-27107"</f>
        <v>LE-010-27107</v>
      </c>
      <c r="B653" t="str">
        <f>"ACT"</f>
        <v>ACT</v>
      </c>
      <c r="C653" t="str">
        <f>"23"</f>
        <v>23</v>
      </c>
      <c r="D653" t="str">
        <f t="shared" si="157"/>
        <v>N/A</v>
      </c>
      <c r="E653" t="str">
        <f>"CML-1100047"</f>
        <v>CML-1100047</v>
      </c>
      <c r="F653" t="str">
        <f t="shared" si="158"/>
        <v>CM-500</v>
      </c>
      <c r="G653" t="str">
        <f t="shared" si="154"/>
        <v>ESD CONSTANT MONITOR</v>
      </c>
      <c r="H653" t="str">
        <f>"hcharles"</f>
        <v>hcharles</v>
      </c>
      <c r="I653" t="str">
        <f t="shared" si="159"/>
        <v>058</v>
      </c>
      <c r="J653" t="str">
        <f t="shared" si="160"/>
        <v>N</v>
      </c>
    </row>
    <row r="654" spans="1:10">
      <c r="A654" t="str">
        <f>"LE-010-26588"</f>
        <v>LE-010-26588</v>
      </c>
      <c r="B654" t="str">
        <f>"ACT"</f>
        <v>ACT</v>
      </c>
      <c r="C654" t="str">
        <f>"04"</f>
        <v>04</v>
      </c>
      <c r="D654" t="str">
        <f t="shared" si="157"/>
        <v>N/A</v>
      </c>
      <c r="E654" t="str">
        <f>"CML-1100106"</f>
        <v>CML-1100106</v>
      </c>
      <c r="F654" t="str">
        <f t="shared" si="158"/>
        <v>CM-500</v>
      </c>
      <c r="G654" t="str">
        <f t="shared" si="154"/>
        <v>ESD CONSTANT MONITOR</v>
      </c>
      <c r="H654" t="str">
        <f>"avazquez"</f>
        <v>avazquez</v>
      </c>
      <c r="I654" t="str">
        <f t="shared" si="159"/>
        <v>058</v>
      </c>
      <c r="J654" t="str">
        <f t="shared" si="160"/>
        <v>N</v>
      </c>
    </row>
    <row r="655" spans="1:10">
      <c r="A655" t="str">
        <f>"LE-010-26639"</f>
        <v>LE-010-26639</v>
      </c>
      <c r="B655" t="str">
        <f>"ACT"</f>
        <v>ACT</v>
      </c>
      <c r="C655" t="str">
        <f>"23"</f>
        <v>23</v>
      </c>
      <c r="D655" t="str">
        <f t="shared" si="157"/>
        <v>N/A</v>
      </c>
      <c r="E655" t="str">
        <f>"CML-1100124"</f>
        <v>CML-1100124</v>
      </c>
      <c r="F655" t="str">
        <f t="shared" si="158"/>
        <v>CM-500</v>
      </c>
      <c r="G655" t="str">
        <f t="shared" si="154"/>
        <v>ESD CONSTANT MONITOR</v>
      </c>
      <c r="H655" t="str">
        <f>"avazquez"</f>
        <v>avazquez</v>
      </c>
      <c r="I655" t="str">
        <f t="shared" si="159"/>
        <v>058</v>
      </c>
      <c r="J655" t="str">
        <f t="shared" si="160"/>
        <v>N</v>
      </c>
    </row>
    <row r="656" spans="1:10">
      <c r="A656" t="str">
        <f>"LE-010-26536"</f>
        <v>LE-010-26536</v>
      </c>
      <c r="B656" t="str">
        <f>"INACT"</f>
        <v>INACT</v>
      </c>
      <c r="C656" t="str">
        <f>"19"</f>
        <v>19</v>
      </c>
      <c r="D656" t="str">
        <f t="shared" si="157"/>
        <v>N/A</v>
      </c>
      <c r="E656" t="str">
        <f>"CML-1100056"</f>
        <v>CML-1100056</v>
      </c>
      <c r="F656" t="str">
        <f t="shared" si="158"/>
        <v>CM-500</v>
      </c>
      <c r="G656" t="str">
        <f t="shared" si="154"/>
        <v>ESD CONSTANT MONITOR</v>
      </c>
      <c r="H656" t="str">
        <f>"zfernandez"</f>
        <v>zfernandez</v>
      </c>
      <c r="I656" t="str">
        <f t="shared" si="159"/>
        <v>058</v>
      </c>
      <c r="J656" t="str">
        <f t="shared" si="160"/>
        <v>N</v>
      </c>
    </row>
    <row r="657" spans="1:10">
      <c r="A657" t="str">
        <f>"LE-010-27133"</f>
        <v>LE-010-27133</v>
      </c>
      <c r="B657" t="str">
        <f>"ACT"</f>
        <v>ACT</v>
      </c>
      <c r="C657" t="str">
        <f>"17"</f>
        <v>17</v>
      </c>
      <c r="D657" t="str">
        <f t="shared" si="157"/>
        <v>N/A</v>
      </c>
      <c r="E657" t="str">
        <f>"CML-1100233"</f>
        <v>CML-1100233</v>
      </c>
      <c r="F657" t="str">
        <f t="shared" si="158"/>
        <v>CM-500</v>
      </c>
      <c r="G657" t="str">
        <f t="shared" si="154"/>
        <v>ESD CONSTANT MONITOR</v>
      </c>
      <c r="H657" t="str">
        <f>"hcharles"</f>
        <v>hcharles</v>
      </c>
      <c r="I657" t="str">
        <f t="shared" si="159"/>
        <v>058</v>
      </c>
      <c r="J657" t="str">
        <f t="shared" si="160"/>
        <v>N</v>
      </c>
    </row>
    <row r="658" spans="1:10">
      <c r="A658" t="str">
        <f>"0320UR01"</f>
        <v>0320UR01</v>
      </c>
      <c r="B658" t="str">
        <f>"ACT"</f>
        <v>ACT</v>
      </c>
      <c r="C658" t="str">
        <f>"08"</f>
        <v>08</v>
      </c>
      <c r="D658" t="str">
        <f>"TQP09199"</f>
        <v>TQP09199</v>
      </c>
      <c r="E658" t="str">
        <f t="shared" ref="E658:F662" si="161">"N/A"</f>
        <v>N/A</v>
      </c>
      <c r="F658" t="str">
        <f t="shared" si="161"/>
        <v>N/A</v>
      </c>
      <c r="G658" t="str">
        <f>"TEST SET LIV # 8"</f>
        <v>TEST SET LIV # 8</v>
      </c>
      <c r="H658" t="str">
        <f>"eromero"</f>
        <v>eromero</v>
      </c>
      <c r="I658" t="str">
        <f>"081"</f>
        <v>081</v>
      </c>
      <c r="J658" t="str">
        <f t="shared" si="160"/>
        <v>N</v>
      </c>
    </row>
    <row r="659" spans="1:10">
      <c r="A659" t="str">
        <f>"LE-001-05234"</f>
        <v>LE-001-05234</v>
      </c>
      <c r="B659" t="str">
        <f>"INACT"</f>
        <v>INACT</v>
      </c>
      <c r="C659" t="str">
        <f>"04"</f>
        <v>04</v>
      </c>
      <c r="D659" t="str">
        <f>"TQP01910"</f>
        <v>TQP01910</v>
      </c>
      <c r="E659" t="str">
        <f t="shared" si="161"/>
        <v>N/A</v>
      </c>
      <c r="F659" t="str">
        <f t="shared" si="161"/>
        <v>N/A</v>
      </c>
      <c r="G659" t="str">
        <f>"TEST SET CW # 01"</f>
        <v>TEST SET CW # 01</v>
      </c>
      <c r="H659" t="str">
        <f>"jcastaneda"</f>
        <v>jcastaneda</v>
      </c>
      <c r="I659" t="str">
        <f>"081"</f>
        <v>081</v>
      </c>
      <c r="J659" t="str">
        <f t="shared" si="160"/>
        <v>N</v>
      </c>
    </row>
    <row r="660" spans="1:10">
      <c r="A660" t="str">
        <f>"LE-001-04859"</f>
        <v>LE-001-04859</v>
      </c>
      <c r="B660" t="str">
        <f t="shared" ref="B660:B691" si="162">"ACT"</f>
        <v>ACT</v>
      </c>
      <c r="C660" t="str">
        <f>"08"</f>
        <v>08</v>
      </c>
      <c r="D660" t="str">
        <f>"TQP09200"</f>
        <v>TQP09200</v>
      </c>
      <c r="E660" t="str">
        <f t="shared" si="161"/>
        <v>N/A</v>
      </c>
      <c r="F660" t="str">
        <f t="shared" si="161"/>
        <v>N/A</v>
      </c>
      <c r="G660" t="str">
        <f>"TEST SET BER # 1"</f>
        <v>TEST SET BER # 1</v>
      </c>
      <c r="H660" t="str">
        <f>"eromero"</f>
        <v>eromero</v>
      </c>
      <c r="I660" t="str">
        <f>"081"</f>
        <v>081</v>
      </c>
      <c r="J660" t="str">
        <f t="shared" si="160"/>
        <v>N</v>
      </c>
    </row>
    <row r="661" spans="1:10">
      <c r="A661" t="str">
        <f>"LE-001-05840"</f>
        <v>LE-001-05840</v>
      </c>
      <c r="B661" t="str">
        <f t="shared" si="162"/>
        <v>ACT</v>
      </c>
      <c r="C661" t="str">
        <f>"08"</f>
        <v>08</v>
      </c>
      <c r="D661" t="str">
        <f>"TQP09196"</f>
        <v>TQP09196</v>
      </c>
      <c r="E661" t="str">
        <f t="shared" si="161"/>
        <v>N/A</v>
      </c>
      <c r="F661" t="str">
        <f t="shared" si="161"/>
        <v>N/A</v>
      </c>
      <c r="G661" t="str">
        <f>"U-PAK BER TEST SET 2"</f>
        <v>U-PAK BER TEST SET 2</v>
      </c>
      <c r="H661" t="str">
        <f>"eromero"</f>
        <v>eromero</v>
      </c>
      <c r="I661" t="str">
        <f>"081"</f>
        <v>081</v>
      </c>
      <c r="J661" t="str">
        <f t="shared" si="160"/>
        <v>N</v>
      </c>
    </row>
    <row r="662" spans="1:10">
      <c r="A662" t="str">
        <f>"LE-001-05842"</f>
        <v>LE-001-05842</v>
      </c>
      <c r="B662" t="str">
        <f t="shared" si="162"/>
        <v>ACT</v>
      </c>
      <c r="C662" t="str">
        <f>"09"</f>
        <v>09</v>
      </c>
      <c r="D662" t="str">
        <f>"TQP01962"</f>
        <v>TQP01962</v>
      </c>
      <c r="E662" t="str">
        <f t="shared" si="161"/>
        <v>N/A</v>
      </c>
      <c r="F662" t="str">
        <f t="shared" si="161"/>
        <v>N/A</v>
      </c>
      <c r="G662" t="str">
        <f>"BER TEST SET # 3"</f>
        <v>BER TEST SET # 3</v>
      </c>
      <c r="H662" t="str">
        <f>"eromero"</f>
        <v>eromero</v>
      </c>
      <c r="I662" t="str">
        <f>"081"</f>
        <v>081</v>
      </c>
      <c r="J662" t="str">
        <f t="shared" si="160"/>
        <v>N</v>
      </c>
    </row>
    <row r="663" spans="1:10">
      <c r="A663" t="str">
        <f>"0319UR16"</f>
        <v>0319UR16</v>
      </c>
      <c r="B663" t="str">
        <f t="shared" si="162"/>
        <v>ACT</v>
      </c>
      <c r="C663" t="str">
        <f>"30"</f>
        <v>30</v>
      </c>
      <c r="D663" t="str">
        <f>"TQP 09306"</f>
        <v>TQP 09306</v>
      </c>
      <c r="E663" t="str">
        <f>"IA00116-4"</f>
        <v>IA00116-4</v>
      </c>
      <c r="F663" t="str">
        <f>"VTS-830"</f>
        <v>VTS-830</v>
      </c>
      <c r="G663" t="str">
        <f>"FLOW HOOD"</f>
        <v>FLOW HOOD</v>
      </c>
      <c r="H663" t="str">
        <f>"rramones"</f>
        <v>rramones</v>
      </c>
      <c r="I663" t="str">
        <f>"039"</f>
        <v>039</v>
      </c>
      <c r="J663" t="str">
        <f t="shared" si="160"/>
        <v>N</v>
      </c>
    </row>
    <row r="664" spans="1:10">
      <c r="A664" t="str">
        <f>"0511FC00"</f>
        <v>0511FC00</v>
      </c>
      <c r="B664" t="str">
        <f t="shared" si="162"/>
        <v>ACT</v>
      </c>
      <c r="C664" t="str">
        <f>"16"</f>
        <v>16</v>
      </c>
      <c r="D664" t="str">
        <f t="shared" ref="D664:F665" si="163">"N/A"</f>
        <v>N/A</v>
      </c>
      <c r="E664" t="str">
        <f t="shared" si="163"/>
        <v>N/A</v>
      </c>
      <c r="F664" t="str">
        <f t="shared" si="163"/>
        <v>N/A</v>
      </c>
      <c r="G664" t="str">
        <f>"SANITARY REGISTRY"</f>
        <v>SANITARY REGISTRY</v>
      </c>
      <c r="H664" t="str">
        <f>"jmaldonado"</f>
        <v>jmaldonado</v>
      </c>
      <c r="I664" t="str">
        <f t="shared" ref="I664:I690" si="164">"081"</f>
        <v>081</v>
      </c>
      <c r="J664" t="str">
        <f t="shared" si="160"/>
        <v>N</v>
      </c>
    </row>
    <row r="665" spans="1:10">
      <c r="A665" t="str">
        <f>"0511FC01"</f>
        <v>0511FC01</v>
      </c>
      <c r="B665" t="str">
        <f t="shared" si="162"/>
        <v>ACT</v>
      </c>
      <c r="C665" t="str">
        <f>"16"</f>
        <v>16</v>
      </c>
      <c r="D665" t="str">
        <f t="shared" si="163"/>
        <v>N/A</v>
      </c>
      <c r="E665" t="str">
        <f t="shared" si="163"/>
        <v>N/A</v>
      </c>
      <c r="F665" t="str">
        <f t="shared" si="163"/>
        <v>N/A</v>
      </c>
      <c r="G665" t="str">
        <f>"POLLUTED RESIDUE REGISTRY"</f>
        <v>POLLUTED RESIDUE REGISTRY</v>
      </c>
      <c r="H665" t="str">
        <f>"jmaldonado"</f>
        <v>jmaldonado</v>
      </c>
      <c r="I665" t="str">
        <f t="shared" si="164"/>
        <v>081</v>
      </c>
      <c r="J665" t="str">
        <f t="shared" si="160"/>
        <v>N</v>
      </c>
    </row>
    <row r="666" spans="1:10">
      <c r="A666" t="str">
        <f>"LE-001-04952"</f>
        <v>LE-001-04952</v>
      </c>
      <c r="B666" t="str">
        <f t="shared" si="162"/>
        <v>ACT</v>
      </c>
      <c r="C666" t="str">
        <f t="shared" ref="C666:C681" si="165">"13"</f>
        <v>13</v>
      </c>
      <c r="D666" t="str">
        <f>"TQP00578"</f>
        <v>TQP00578</v>
      </c>
      <c r="E666" t="str">
        <f t="shared" ref="E666:F690" si="166">"N/A"</f>
        <v>N/A</v>
      </c>
      <c r="F666" t="str">
        <f t="shared" si="166"/>
        <v>N/A</v>
      </c>
      <c r="G666" t="str">
        <f>"OSA PURGE  # 19"</f>
        <v>OSA PURGE  # 19</v>
      </c>
      <c r="H666" t="str">
        <f>"jmarmolejo"</f>
        <v>jmarmolejo</v>
      </c>
      <c r="I666" t="str">
        <f t="shared" si="164"/>
        <v>081</v>
      </c>
      <c r="J666" t="str">
        <f t="shared" si="160"/>
        <v>N</v>
      </c>
    </row>
    <row r="667" spans="1:10">
      <c r="A667" t="str">
        <f>"LE-001-04953"</f>
        <v>LE-001-04953</v>
      </c>
      <c r="B667" t="str">
        <f t="shared" si="162"/>
        <v>ACT</v>
      </c>
      <c r="C667" t="str">
        <f t="shared" si="165"/>
        <v>13</v>
      </c>
      <c r="D667" t="str">
        <f>"TQP00679"</f>
        <v>TQP00679</v>
      </c>
      <c r="E667" t="str">
        <f t="shared" si="166"/>
        <v>N/A</v>
      </c>
      <c r="F667" t="str">
        <f t="shared" si="166"/>
        <v>N/A</v>
      </c>
      <c r="G667" t="str">
        <f>"OSA PURGE  # 25"</f>
        <v>OSA PURGE  # 25</v>
      </c>
      <c r="H667" t="str">
        <f>"jmarmolejo"</f>
        <v>jmarmolejo</v>
      </c>
      <c r="I667" t="str">
        <f t="shared" si="164"/>
        <v>081</v>
      </c>
      <c r="J667" t="str">
        <f t="shared" si="160"/>
        <v>N</v>
      </c>
    </row>
    <row r="668" spans="1:10">
      <c r="A668" t="str">
        <f>"LE-001-04954"</f>
        <v>LE-001-04954</v>
      </c>
      <c r="B668" t="str">
        <f t="shared" si="162"/>
        <v>ACT</v>
      </c>
      <c r="C668" t="str">
        <f t="shared" si="165"/>
        <v>13</v>
      </c>
      <c r="D668" t="str">
        <f>"TQP00680"</f>
        <v>TQP00680</v>
      </c>
      <c r="E668" t="str">
        <f t="shared" si="166"/>
        <v>N/A</v>
      </c>
      <c r="F668" t="str">
        <f t="shared" si="166"/>
        <v>N/A</v>
      </c>
      <c r="G668" t="str">
        <f>"OSA PURGE  # 21"</f>
        <v>OSA PURGE  # 21</v>
      </c>
      <c r="H668" t="str">
        <f>"mcampos"</f>
        <v>mcampos</v>
      </c>
      <c r="I668" t="str">
        <f t="shared" si="164"/>
        <v>081</v>
      </c>
      <c r="J668" t="str">
        <f t="shared" si="160"/>
        <v>N</v>
      </c>
    </row>
    <row r="669" spans="1:10">
      <c r="A669" t="str">
        <f>"LE-001-04942"</f>
        <v>LE-001-04942</v>
      </c>
      <c r="B669" t="str">
        <f t="shared" si="162"/>
        <v>ACT</v>
      </c>
      <c r="C669" t="str">
        <f t="shared" si="165"/>
        <v>13</v>
      </c>
      <c r="D669" t="str">
        <f>"TQP00681"</f>
        <v>TQP00681</v>
      </c>
      <c r="E669" t="str">
        <f t="shared" si="166"/>
        <v>N/A</v>
      </c>
      <c r="F669" t="str">
        <f t="shared" si="166"/>
        <v>N/A</v>
      </c>
      <c r="G669" t="str">
        <f>"OSA PURGE  # 37"</f>
        <v>OSA PURGE  # 37</v>
      </c>
      <c r="H669" t="str">
        <f t="shared" ref="H669:H674" si="167">"jmarmolejo"</f>
        <v>jmarmolejo</v>
      </c>
      <c r="I669" t="str">
        <f t="shared" si="164"/>
        <v>081</v>
      </c>
      <c r="J669" t="str">
        <f t="shared" si="160"/>
        <v>N</v>
      </c>
    </row>
    <row r="670" spans="1:10">
      <c r="A670" t="str">
        <f>"LE-001-04943"</f>
        <v>LE-001-04943</v>
      </c>
      <c r="B670" t="str">
        <f t="shared" si="162"/>
        <v>ACT</v>
      </c>
      <c r="C670" t="str">
        <f t="shared" si="165"/>
        <v>13</v>
      </c>
      <c r="D670" t="str">
        <f>"TQP00682"</f>
        <v>TQP00682</v>
      </c>
      <c r="E670" t="str">
        <f t="shared" si="166"/>
        <v>N/A</v>
      </c>
      <c r="F670" t="str">
        <f t="shared" si="166"/>
        <v>N/A</v>
      </c>
      <c r="G670" t="str">
        <f>"OSA PURGE  # 23"</f>
        <v>OSA PURGE  # 23</v>
      </c>
      <c r="H670" t="str">
        <f t="shared" si="167"/>
        <v>jmarmolejo</v>
      </c>
      <c r="I670" t="str">
        <f t="shared" si="164"/>
        <v>081</v>
      </c>
      <c r="J670" t="str">
        <f t="shared" si="160"/>
        <v>N</v>
      </c>
    </row>
    <row r="671" spans="1:10">
      <c r="A671" t="str">
        <f>"LE-001-04944"</f>
        <v>LE-001-04944</v>
      </c>
      <c r="B671" t="str">
        <f t="shared" si="162"/>
        <v>ACT</v>
      </c>
      <c r="C671" t="str">
        <f t="shared" si="165"/>
        <v>13</v>
      </c>
      <c r="D671" t="str">
        <f>"TQP00683"</f>
        <v>TQP00683</v>
      </c>
      <c r="E671" t="str">
        <f t="shared" si="166"/>
        <v>N/A</v>
      </c>
      <c r="F671" t="str">
        <f t="shared" si="166"/>
        <v>N/A</v>
      </c>
      <c r="G671" t="str">
        <f>"OSA PURGE  # 24"</f>
        <v>OSA PURGE  # 24</v>
      </c>
      <c r="H671" t="str">
        <f t="shared" si="167"/>
        <v>jmarmolejo</v>
      </c>
      <c r="I671" t="str">
        <f t="shared" si="164"/>
        <v>081</v>
      </c>
      <c r="J671" t="str">
        <f t="shared" si="160"/>
        <v>N</v>
      </c>
    </row>
    <row r="672" spans="1:10">
      <c r="A672" t="str">
        <f>"LE-001-05114"</f>
        <v>LE-001-05114</v>
      </c>
      <c r="B672" t="str">
        <f t="shared" si="162"/>
        <v>ACT</v>
      </c>
      <c r="C672" t="str">
        <f t="shared" si="165"/>
        <v>13</v>
      </c>
      <c r="D672" t="str">
        <f>"TQP01874"</f>
        <v>TQP01874</v>
      </c>
      <c r="E672" t="str">
        <f t="shared" si="166"/>
        <v>N/A</v>
      </c>
      <c r="F672" t="str">
        <f t="shared" si="166"/>
        <v>N/A</v>
      </c>
      <c r="G672" t="str">
        <f>"OSA PURGE  # 28"</f>
        <v>OSA PURGE  # 28</v>
      </c>
      <c r="H672" t="str">
        <f t="shared" si="167"/>
        <v>jmarmolejo</v>
      </c>
      <c r="I672" t="str">
        <f t="shared" si="164"/>
        <v>081</v>
      </c>
      <c r="J672" t="str">
        <f t="shared" si="160"/>
        <v>N</v>
      </c>
    </row>
    <row r="673" spans="1:10">
      <c r="A673" t="str">
        <f>"LE-001-05115"</f>
        <v>LE-001-05115</v>
      </c>
      <c r="B673" t="str">
        <f t="shared" si="162"/>
        <v>ACT</v>
      </c>
      <c r="C673" t="str">
        <f t="shared" si="165"/>
        <v>13</v>
      </c>
      <c r="D673" t="str">
        <f>"TQP01861"</f>
        <v>TQP01861</v>
      </c>
      <c r="E673" t="str">
        <f t="shared" si="166"/>
        <v>N/A</v>
      </c>
      <c r="F673" t="str">
        <f t="shared" si="166"/>
        <v>N/A</v>
      </c>
      <c r="G673" t="str">
        <f>"OSA PURGE  # 38"</f>
        <v>OSA PURGE  # 38</v>
      </c>
      <c r="H673" t="str">
        <f t="shared" si="167"/>
        <v>jmarmolejo</v>
      </c>
      <c r="I673" t="str">
        <f t="shared" si="164"/>
        <v>081</v>
      </c>
      <c r="J673" t="str">
        <f t="shared" si="160"/>
        <v>N</v>
      </c>
    </row>
    <row r="674" spans="1:10">
      <c r="A674" t="str">
        <f>"LE-001-05116"</f>
        <v>LE-001-05116</v>
      </c>
      <c r="B674" t="str">
        <f t="shared" si="162"/>
        <v>ACT</v>
      </c>
      <c r="C674" t="str">
        <f t="shared" si="165"/>
        <v>13</v>
      </c>
      <c r="D674" t="str">
        <f>"TQP01868"</f>
        <v>TQP01868</v>
      </c>
      <c r="E674" t="str">
        <f t="shared" si="166"/>
        <v>N/A</v>
      </c>
      <c r="F674" t="str">
        <f t="shared" si="166"/>
        <v>N/A</v>
      </c>
      <c r="G674" t="str">
        <f>"OSA PURGE  # 39"</f>
        <v>OSA PURGE  # 39</v>
      </c>
      <c r="H674" t="str">
        <f t="shared" si="167"/>
        <v>jmarmolejo</v>
      </c>
      <c r="I674" t="str">
        <f t="shared" si="164"/>
        <v>081</v>
      </c>
      <c r="J674" t="str">
        <f t="shared" si="160"/>
        <v>N</v>
      </c>
    </row>
    <row r="675" spans="1:10">
      <c r="A675" t="str">
        <f>"LE-001-05137"</f>
        <v>LE-001-05137</v>
      </c>
      <c r="B675" t="str">
        <f t="shared" si="162"/>
        <v>ACT</v>
      </c>
      <c r="C675" t="str">
        <f t="shared" si="165"/>
        <v>13</v>
      </c>
      <c r="D675" t="str">
        <f>"TQP01871"</f>
        <v>TQP01871</v>
      </c>
      <c r="E675" t="str">
        <f t="shared" si="166"/>
        <v>N/A</v>
      </c>
      <c r="F675" t="str">
        <f t="shared" si="166"/>
        <v>N/A</v>
      </c>
      <c r="G675" t="str">
        <f>"OSA PURGE  # 40"</f>
        <v>OSA PURGE  # 40</v>
      </c>
      <c r="H675" t="str">
        <f>"mcampos"</f>
        <v>mcampos</v>
      </c>
      <c r="I675" t="str">
        <f t="shared" si="164"/>
        <v>081</v>
      </c>
      <c r="J675" t="str">
        <f t="shared" si="160"/>
        <v>N</v>
      </c>
    </row>
    <row r="676" spans="1:10">
      <c r="A676" t="str">
        <f>"LE-001-05138"</f>
        <v>LE-001-05138</v>
      </c>
      <c r="B676" t="str">
        <f t="shared" si="162"/>
        <v>ACT</v>
      </c>
      <c r="C676" t="str">
        <f t="shared" si="165"/>
        <v>13</v>
      </c>
      <c r="D676" t="str">
        <f>"TQP01873"</f>
        <v>TQP01873</v>
      </c>
      <c r="E676" t="str">
        <f t="shared" si="166"/>
        <v>N/A</v>
      </c>
      <c r="F676" t="str">
        <f t="shared" si="166"/>
        <v>N/A</v>
      </c>
      <c r="G676" t="str">
        <f>"OSA PURGE  # 41"</f>
        <v>OSA PURGE  # 41</v>
      </c>
      <c r="H676" t="str">
        <f>"jmarmolejo"</f>
        <v>jmarmolejo</v>
      </c>
      <c r="I676" t="str">
        <f t="shared" si="164"/>
        <v>081</v>
      </c>
      <c r="J676" t="str">
        <f t="shared" si="160"/>
        <v>N</v>
      </c>
    </row>
    <row r="677" spans="1:10">
      <c r="A677" t="str">
        <f>"LE-001-05139"</f>
        <v>LE-001-05139</v>
      </c>
      <c r="B677" t="str">
        <f t="shared" si="162"/>
        <v>ACT</v>
      </c>
      <c r="C677" t="str">
        <f t="shared" si="165"/>
        <v>13</v>
      </c>
      <c r="D677" t="str">
        <f>"TQP01872"</f>
        <v>TQP01872</v>
      </c>
      <c r="E677" t="str">
        <f t="shared" si="166"/>
        <v>N/A</v>
      </c>
      <c r="F677" t="str">
        <f t="shared" si="166"/>
        <v>N/A</v>
      </c>
      <c r="G677" t="str">
        <f>"OSA PURGE  # 42"</f>
        <v>OSA PURGE  # 42</v>
      </c>
      <c r="H677" t="str">
        <f>"jmarmolejo"</f>
        <v>jmarmolejo</v>
      </c>
      <c r="I677" t="str">
        <f t="shared" si="164"/>
        <v>081</v>
      </c>
      <c r="J677" t="str">
        <f t="shared" si="160"/>
        <v>N</v>
      </c>
    </row>
    <row r="678" spans="1:10">
      <c r="A678" t="str">
        <f>"LE-090-01192"</f>
        <v>LE-090-01192</v>
      </c>
      <c r="B678" t="str">
        <f t="shared" si="162"/>
        <v>ACT</v>
      </c>
      <c r="C678" t="str">
        <f t="shared" si="165"/>
        <v>13</v>
      </c>
      <c r="D678" t="str">
        <f>"TQP04972"</f>
        <v>TQP04972</v>
      </c>
      <c r="E678" t="str">
        <f t="shared" si="166"/>
        <v>N/A</v>
      </c>
      <c r="F678" t="str">
        <f t="shared" si="166"/>
        <v>N/A</v>
      </c>
      <c r="G678" t="str">
        <f>"OSA AGE RACK # 07"</f>
        <v>OSA AGE RACK # 07</v>
      </c>
      <c r="H678" t="str">
        <f t="shared" ref="H678:H690" si="168">"mcampos"</f>
        <v>mcampos</v>
      </c>
      <c r="I678" t="str">
        <f t="shared" si="164"/>
        <v>081</v>
      </c>
      <c r="J678" t="str">
        <f t="shared" si="160"/>
        <v>N</v>
      </c>
    </row>
    <row r="679" spans="1:10">
      <c r="A679" t="str">
        <f>"LE-090-01193"</f>
        <v>LE-090-01193</v>
      </c>
      <c r="B679" t="str">
        <f t="shared" si="162"/>
        <v>ACT</v>
      </c>
      <c r="C679" t="str">
        <f t="shared" si="165"/>
        <v>13</v>
      </c>
      <c r="D679" t="str">
        <f>"TQP04973"</f>
        <v>TQP04973</v>
      </c>
      <c r="E679" t="str">
        <f t="shared" si="166"/>
        <v>N/A</v>
      </c>
      <c r="F679" t="str">
        <f t="shared" si="166"/>
        <v>N/A</v>
      </c>
      <c r="G679" t="str">
        <f>"OSA AGE RACK # 08"</f>
        <v>OSA AGE RACK # 08</v>
      </c>
      <c r="H679" t="str">
        <f t="shared" si="168"/>
        <v>mcampos</v>
      </c>
      <c r="I679" t="str">
        <f t="shared" si="164"/>
        <v>081</v>
      </c>
      <c r="J679" t="str">
        <f t="shared" si="160"/>
        <v>N</v>
      </c>
    </row>
    <row r="680" spans="1:10">
      <c r="A680" t="str">
        <f>"LE-090-01189"</f>
        <v>LE-090-01189</v>
      </c>
      <c r="B680" t="str">
        <f t="shared" si="162"/>
        <v>ACT</v>
      </c>
      <c r="C680" t="str">
        <f t="shared" si="165"/>
        <v>13</v>
      </c>
      <c r="D680" t="str">
        <f>"TQP09474"</f>
        <v>TQP09474</v>
      </c>
      <c r="E680" t="str">
        <f t="shared" si="166"/>
        <v>N/A</v>
      </c>
      <c r="F680" t="str">
        <f t="shared" si="166"/>
        <v>N/A</v>
      </c>
      <c r="G680" t="str">
        <f>"OSA AGE RACK # 09"</f>
        <v>OSA AGE RACK # 09</v>
      </c>
      <c r="H680" t="str">
        <f t="shared" si="168"/>
        <v>mcampos</v>
      </c>
      <c r="I680" t="str">
        <f t="shared" si="164"/>
        <v>081</v>
      </c>
      <c r="J680" t="str">
        <f t="shared" si="160"/>
        <v>N</v>
      </c>
    </row>
    <row r="681" spans="1:10">
      <c r="A681" t="str">
        <f>"LE-090-01190"</f>
        <v>LE-090-01190</v>
      </c>
      <c r="B681" t="str">
        <f t="shared" si="162"/>
        <v>ACT</v>
      </c>
      <c r="C681" t="str">
        <f t="shared" si="165"/>
        <v>13</v>
      </c>
      <c r="D681" t="str">
        <f>"TQP04975"</f>
        <v>TQP04975</v>
      </c>
      <c r="E681" t="str">
        <f t="shared" si="166"/>
        <v>N/A</v>
      </c>
      <c r="F681" t="str">
        <f t="shared" si="166"/>
        <v>N/A</v>
      </c>
      <c r="G681" t="str">
        <f>"OSA AGE RACK # 10"</f>
        <v>OSA AGE RACK # 10</v>
      </c>
      <c r="H681" t="str">
        <f t="shared" si="168"/>
        <v>mcampos</v>
      </c>
      <c r="I681" t="str">
        <f t="shared" si="164"/>
        <v>081</v>
      </c>
      <c r="J681" t="str">
        <f t="shared" si="160"/>
        <v>N</v>
      </c>
    </row>
    <row r="682" spans="1:10">
      <c r="A682" t="str">
        <f>"LE-001-05335"</f>
        <v>LE-001-05335</v>
      </c>
      <c r="B682" t="str">
        <f t="shared" si="162"/>
        <v>ACT</v>
      </c>
      <c r="C682" t="str">
        <f>"14"</f>
        <v>14</v>
      </c>
      <c r="D682" t="str">
        <f>"TQP00374"</f>
        <v>TQP00374</v>
      </c>
      <c r="E682" t="str">
        <f t="shared" si="166"/>
        <v>N/A</v>
      </c>
      <c r="F682" t="str">
        <f t="shared" si="166"/>
        <v>N/A</v>
      </c>
      <c r="G682" t="str">
        <f>"APD BURN-IN  # 05"</f>
        <v>APD BURN-IN  # 05</v>
      </c>
      <c r="H682" t="str">
        <f t="shared" si="168"/>
        <v>mcampos</v>
      </c>
      <c r="I682" t="str">
        <f t="shared" si="164"/>
        <v>081</v>
      </c>
      <c r="J682" t="str">
        <f t="shared" si="160"/>
        <v>N</v>
      </c>
    </row>
    <row r="683" spans="1:10">
      <c r="A683" t="str">
        <f>"LE-001-05337"</f>
        <v>LE-001-05337</v>
      </c>
      <c r="B683" t="str">
        <f t="shared" si="162"/>
        <v>ACT</v>
      </c>
      <c r="C683" t="str">
        <f>"14"</f>
        <v>14</v>
      </c>
      <c r="D683" t="str">
        <f>"TQP01935"</f>
        <v>TQP01935</v>
      </c>
      <c r="E683" t="str">
        <f t="shared" si="166"/>
        <v>N/A</v>
      </c>
      <c r="F683" t="str">
        <f t="shared" si="166"/>
        <v>N/A</v>
      </c>
      <c r="G683" t="str">
        <f>"APD BURN-IN  # 02"</f>
        <v>APD BURN-IN  # 02</v>
      </c>
      <c r="H683" t="str">
        <f t="shared" si="168"/>
        <v>mcampos</v>
      </c>
      <c r="I683" t="str">
        <f t="shared" si="164"/>
        <v>081</v>
      </c>
      <c r="J683" t="str">
        <f t="shared" si="160"/>
        <v>N</v>
      </c>
    </row>
    <row r="684" spans="1:10">
      <c r="A684" t="str">
        <f>"LE-001-04853"</f>
        <v>LE-001-04853</v>
      </c>
      <c r="B684" t="str">
        <f t="shared" si="162"/>
        <v>ACT</v>
      </c>
      <c r="C684" t="str">
        <f t="shared" ref="C684:C690" si="169">"13"</f>
        <v>13</v>
      </c>
      <c r="D684" t="str">
        <f>"TQP00185"</f>
        <v>TQP00185</v>
      </c>
      <c r="E684" t="str">
        <f t="shared" si="166"/>
        <v>N/A</v>
      </c>
      <c r="F684" t="str">
        <f t="shared" si="166"/>
        <v>N/A</v>
      </c>
      <c r="G684" t="str">
        <f>"OSA LIV/WL # 02"</f>
        <v>OSA LIV/WL # 02</v>
      </c>
      <c r="H684" t="str">
        <f t="shared" si="168"/>
        <v>mcampos</v>
      </c>
      <c r="I684" t="str">
        <f t="shared" si="164"/>
        <v>081</v>
      </c>
      <c r="J684" t="str">
        <f t="shared" si="160"/>
        <v>N</v>
      </c>
    </row>
    <row r="685" spans="1:10">
      <c r="A685" t="str">
        <f>"LE-001-04920"</f>
        <v>LE-001-04920</v>
      </c>
      <c r="B685" t="str">
        <f t="shared" si="162"/>
        <v>ACT</v>
      </c>
      <c r="C685" t="str">
        <f t="shared" si="169"/>
        <v>13</v>
      </c>
      <c r="D685" t="str">
        <f>"TQP00186"</f>
        <v>TQP00186</v>
      </c>
      <c r="E685" t="str">
        <f t="shared" si="166"/>
        <v>N/A</v>
      </c>
      <c r="F685" t="str">
        <f t="shared" si="166"/>
        <v>N/A</v>
      </c>
      <c r="G685" t="str">
        <f>"OSA LIV/WL # 08"</f>
        <v>OSA LIV/WL # 08</v>
      </c>
      <c r="H685" t="str">
        <f t="shared" si="168"/>
        <v>mcampos</v>
      </c>
      <c r="I685" t="str">
        <f t="shared" si="164"/>
        <v>081</v>
      </c>
      <c r="J685" t="str">
        <f t="shared" si="160"/>
        <v>N</v>
      </c>
    </row>
    <row r="686" spans="1:10">
      <c r="A686" t="str">
        <f>"LE-001-05140"</f>
        <v>LE-001-05140</v>
      </c>
      <c r="B686" t="str">
        <f t="shared" si="162"/>
        <v>ACT</v>
      </c>
      <c r="C686" t="str">
        <f t="shared" si="169"/>
        <v>13</v>
      </c>
      <c r="D686" t="str">
        <f>"TQP00187"</f>
        <v>TQP00187</v>
      </c>
      <c r="E686" t="str">
        <f t="shared" si="166"/>
        <v>N/A</v>
      </c>
      <c r="F686" t="str">
        <f t="shared" si="166"/>
        <v>N/A</v>
      </c>
      <c r="G686" t="str">
        <f>"OSA LIV/WL # 24"</f>
        <v>OSA LIV/WL # 24</v>
      </c>
      <c r="H686" t="str">
        <f t="shared" si="168"/>
        <v>mcampos</v>
      </c>
      <c r="I686" t="str">
        <f t="shared" si="164"/>
        <v>081</v>
      </c>
      <c r="J686" t="str">
        <f t="shared" si="160"/>
        <v>N</v>
      </c>
    </row>
    <row r="687" spans="1:10">
      <c r="A687" t="str">
        <f>"LE-001-05288"</f>
        <v>LE-001-05288</v>
      </c>
      <c r="B687" t="str">
        <f t="shared" si="162"/>
        <v>ACT</v>
      </c>
      <c r="C687" t="str">
        <f t="shared" si="169"/>
        <v>13</v>
      </c>
      <c r="D687" t="str">
        <f>"TQP00188"</f>
        <v>TQP00188</v>
      </c>
      <c r="E687" t="str">
        <f t="shared" si="166"/>
        <v>N/A</v>
      </c>
      <c r="F687" t="str">
        <f t="shared" si="166"/>
        <v>N/A</v>
      </c>
      <c r="G687" t="str">
        <f>"OSA LIV/WL # 36"</f>
        <v>OSA LIV/WL # 36</v>
      </c>
      <c r="H687" t="str">
        <f t="shared" si="168"/>
        <v>mcampos</v>
      </c>
      <c r="I687" t="str">
        <f t="shared" si="164"/>
        <v>081</v>
      </c>
      <c r="J687" t="str">
        <f t="shared" si="160"/>
        <v>N</v>
      </c>
    </row>
    <row r="688" spans="1:10">
      <c r="A688" t="str">
        <f>"LE-001-05289"</f>
        <v>LE-001-05289</v>
      </c>
      <c r="B688" t="str">
        <f t="shared" si="162"/>
        <v>ACT</v>
      </c>
      <c r="C688" t="str">
        <f t="shared" si="169"/>
        <v>13</v>
      </c>
      <c r="D688" t="str">
        <f>"TQP00189"</f>
        <v>TQP00189</v>
      </c>
      <c r="E688" t="str">
        <f t="shared" si="166"/>
        <v>N/A</v>
      </c>
      <c r="F688" t="str">
        <f t="shared" si="166"/>
        <v>N/A</v>
      </c>
      <c r="G688" t="str">
        <f>"OSA LIV/WL # 37"</f>
        <v>OSA LIV/WL # 37</v>
      </c>
      <c r="H688" t="str">
        <f t="shared" si="168"/>
        <v>mcampos</v>
      </c>
      <c r="I688" t="str">
        <f t="shared" si="164"/>
        <v>081</v>
      </c>
      <c r="J688" t="str">
        <f t="shared" si="160"/>
        <v>N</v>
      </c>
    </row>
    <row r="689" spans="1:10">
      <c r="A689" t="str">
        <f>"LE-001-04081"</f>
        <v>LE-001-04081</v>
      </c>
      <c r="B689" t="str">
        <f t="shared" si="162"/>
        <v>ACT</v>
      </c>
      <c r="C689" t="str">
        <f t="shared" si="169"/>
        <v>13</v>
      </c>
      <c r="D689" t="str">
        <f>"TQP 00201"</f>
        <v>TQP 00201</v>
      </c>
      <c r="E689" t="str">
        <f t="shared" si="166"/>
        <v>N/A</v>
      </c>
      <c r="F689" t="str">
        <f t="shared" si="166"/>
        <v>N/A</v>
      </c>
      <c r="G689" t="str">
        <f>"BER  # 03"</f>
        <v>BER  # 03</v>
      </c>
      <c r="H689" t="str">
        <f t="shared" si="168"/>
        <v>mcampos</v>
      </c>
      <c r="I689" t="str">
        <f t="shared" si="164"/>
        <v>081</v>
      </c>
      <c r="J689" t="str">
        <f t="shared" si="160"/>
        <v>N</v>
      </c>
    </row>
    <row r="690" spans="1:10">
      <c r="A690" t="str">
        <f>"LE-001-05253"</f>
        <v>LE-001-05253</v>
      </c>
      <c r="B690" t="str">
        <f t="shared" si="162"/>
        <v>ACT</v>
      </c>
      <c r="C690" t="str">
        <f t="shared" si="169"/>
        <v>13</v>
      </c>
      <c r="D690" t="str">
        <f>"TQP 01853"</f>
        <v>TQP 01853</v>
      </c>
      <c r="E690" t="str">
        <f t="shared" si="166"/>
        <v>N/A</v>
      </c>
      <c r="F690" t="str">
        <f t="shared" si="166"/>
        <v>N/A</v>
      </c>
      <c r="G690" t="str">
        <f>"BER  # 04"</f>
        <v>BER  # 04</v>
      </c>
      <c r="H690" t="str">
        <f t="shared" si="168"/>
        <v>mcampos</v>
      </c>
      <c r="I690" t="str">
        <f t="shared" si="164"/>
        <v>081</v>
      </c>
      <c r="J690" t="str">
        <f t="shared" si="160"/>
        <v>N</v>
      </c>
    </row>
    <row r="691" spans="1:10">
      <c r="A691" t="str">
        <f>"0725EN00"</f>
        <v>0725EN00</v>
      </c>
      <c r="B691" t="str">
        <f t="shared" si="162"/>
        <v>ACT</v>
      </c>
      <c r="C691" t="str">
        <f>"09"</f>
        <v>09</v>
      </c>
      <c r="D691" t="str">
        <f>"NA"</f>
        <v>NA</v>
      </c>
      <c r="E691" t="str">
        <f>"NA"</f>
        <v>NA</v>
      </c>
      <c r="F691" t="str">
        <f>"NA"</f>
        <v>NA</v>
      </c>
      <c r="G691" t="str">
        <f>"CORTADORA DE TERMINALES 2.5G-MSA"</f>
        <v>CORTADORA DE TERMINALES 2.5G-MSA</v>
      </c>
      <c r="H691" t="str">
        <f>"ecerda"</f>
        <v>ecerda</v>
      </c>
      <c r="I691" t="str">
        <f>"083"</f>
        <v>083</v>
      </c>
      <c r="J691" t="str">
        <f t="shared" si="160"/>
        <v>N</v>
      </c>
    </row>
    <row r="692" spans="1:10">
      <c r="A692" t="str">
        <f>"0718TO00"</f>
        <v>0718TO00</v>
      </c>
      <c r="B692" t="str">
        <f>"INACT"</f>
        <v>INACT</v>
      </c>
      <c r="C692" t="str">
        <f t="shared" ref="C692:C697" si="170">"27"</f>
        <v>27</v>
      </c>
      <c r="D692" t="str">
        <f>"TQP20348"</f>
        <v>TQP20348</v>
      </c>
      <c r="E692" t="str">
        <f>"N/A"</f>
        <v>N/A</v>
      </c>
      <c r="F692" t="str">
        <f>"N/A"</f>
        <v>N/A</v>
      </c>
      <c r="G692" t="str">
        <f>"EQUIPO DE PRUEBA FINAL-DC1310 TOCAN"</f>
        <v>EQUIPO DE PRUEBA FINAL-DC1310 TOCAN</v>
      </c>
      <c r="H692" t="str">
        <f>"hramos"</f>
        <v>hramos</v>
      </c>
      <c r="I692" t="str">
        <f>"081"</f>
        <v>081</v>
      </c>
      <c r="J692" t="str">
        <f t="shared" si="160"/>
        <v>N</v>
      </c>
    </row>
    <row r="693" spans="1:10">
      <c r="A693" t="str">
        <f>"0718TO10"</f>
        <v>0718TO10</v>
      </c>
      <c r="B693" t="str">
        <f>"INACT"</f>
        <v>INACT</v>
      </c>
      <c r="C693" t="str">
        <f t="shared" si="170"/>
        <v>27</v>
      </c>
      <c r="D693" t="str">
        <f>"TQP20712"</f>
        <v>TQP20712</v>
      </c>
      <c r="E693" t="str">
        <f>"N/A"</f>
        <v>N/A</v>
      </c>
      <c r="F693" t="str">
        <f>"N/A"</f>
        <v>N/A</v>
      </c>
      <c r="G693" t="str">
        <f>"EQUIPO DE PRUEBA FINAL ST 1310"</f>
        <v>EQUIPO DE PRUEBA FINAL ST 1310</v>
      </c>
      <c r="H693" t="str">
        <f>"hramos"</f>
        <v>hramos</v>
      </c>
      <c r="I693" t="str">
        <f>"081"</f>
        <v>081</v>
      </c>
      <c r="J693" t="str">
        <f t="shared" si="160"/>
        <v>N</v>
      </c>
    </row>
    <row r="694" spans="1:10">
      <c r="A694" t="str">
        <f>"0734TO00"</f>
        <v>0734TO00</v>
      </c>
      <c r="B694" t="str">
        <f>"ACT"</f>
        <v>ACT</v>
      </c>
      <c r="C694" t="str">
        <f t="shared" si="170"/>
        <v>27</v>
      </c>
      <c r="D694" t="str">
        <f>"N/A"</f>
        <v>N/A</v>
      </c>
      <c r="E694" t="str">
        <f>"PCM5106027"</f>
        <v>PCM5106027</v>
      </c>
      <c r="F694" t="str">
        <f>"CM-500"</f>
        <v>CM-500</v>
      </c>
      <c r="G694" t="str">
        <f>"ESD CONSTANT MONITOR"</f>
        <v>ESD CONSTANT MONITOR</v>
      </c>
      <c r="H694" t="str">
        <f>"avazquez"</f>
        <v>avazquez</v>
      </c>
      <c r="I694" t="str">
        <f>"058"</f>
        <v>058</v>
      </c>
      <c r="J694" t="str">
        <f t="shared" si="160"/>
        <v>N</v>
      </c>
    </row>
    <row r="695" spans="1:10">
      <c r="A695" t="str">
        <f>"0734TO02"</f>
        <v>0734TO02</v>
      </c>
      <c r="B695" t="str">
        <f>"ACT"</f>
        <v>ACT</v>
      </c>
      <c r="C695" t="str">
        <f t="shared" si="170"/>
        <v>27</v>
      </c>
      <c r="D695" t="str">
        <f>"N/A"</f>
        <v>N/A</v>
      </c>
      <c r="E695" t="str">
        <f>"PCM5106026"</f>
        <v>PCM5106026</v>
      </c>
      <c r="F695" t="str">
        <f>"CM-500"</f>
        <v>CM-500</v>
      </c>
      <c r="G695" t="str">
        <f>"ESD CONSTANT MONITOR"</f>
        <v>ESD CONSTANT MONITOR</v>
      </c>
      <c r="H695" t="str">
        <f>"avazquez"</f>
        <v>avazquez</v>
      </c>
      <c r="I695" t="str">
        <f>"058"</f>
        <v>058</v>
      </c>
      <c r="J695" t="str">
        <f t="shared" si="160"/>
        <v>N</v>
      </c>
    </row>
    <row r="696" spans="1:10">
      <c r="A696" t="str">
        <f>"0734TO04"</f>
        <v>0734TO04</v>
      </c>
      <c r="B696" t="str">
        <f>"ACT"</f>
        <v>ACT</v>
      </c>
      <c r="C696" t="str">
        <f t="shared" si="170"/>
        <v>27</v>
      </c>
      <c r="D696" t="str">
        <f>"N/A"</f>
        <v>N/A</v>
      </c>
      <c r="E696" t="str">
        <f>"PCM5106040"</f>
        <v>PCM5106040</v>
      </c>
      <c r="F696" t="str">
        <f>"CM-500"</f>
        <v>CM-500</v>
      </c>
      <c r="G696" t="str">
        <f>"ESD CONSTANT MONITOR"</f>
        <v>ESD CONSTANT MONITOR</v>
      </c>
      <c r="H696" t="str">
        <f>"avazquez"</f>
        <v>avazquez</v>
      </c>
      <c r="I696" t="str">
        <f>"058"</f>
        <v>058</v>
      </c>
      <c r="J696" t="str">
        <f t="shared" si="160"/>
        <v>N</v>
      </c>
    </row>
    <row r="697" spans="1:10">
      <c r="A697" t="str">
        <f>"0734TO05"</f>
        <v>0734TO05</v>
      </c>
      <c r="B697" t="str">
        <f>"ACT"</f>
        <v>ACT</v>
      </c>
      <c r="C697" t="str">
        <f t="shared" si="170"/>
        <v>27</v>
      </c>
      <c r="D697" t="str">
        <f>"N/A"</f>
        <v>N/A</v>
      </c>
      <c r="E697" t="str">
        <f>"PCM5106034"</f>
        <v>PCM5106034</v>
      </c>
      <c r="F697" t="str">
        <f>"CM-500"</f>
        <v>CM-500</v>
      </c>
      <c r="G697" t="str">
        <f>"ESD CONSTANT MONITOR"</f>
        <v>ESD CONSTANT MONITOR</v>
      </c>
      <c r="H697" t="str">
        <f>"avazquez"</f>
        <v>avazquez</v>
      </c>
      <c r="I697" t="str">
        <f>"058"</f>
        <v>058</v>
      </c>
      <c r="J697" t="str">
        <f t="shared" si="160"/>
        <v>N</v>
      </c>
    </row>
    <row r="698" spans="1:10">
      <c r="A698" t="str">
        <f>"0734TO03"</f>
        <v>0734TO03</v>
      </c>
      <c r="B698" t="str">
        <f>"INACT"</f>
        <v>INACT</v>
      </c>
      <c r="C698" t="str">
        <f>"19"</f>
        <v>19</v>
      </c>
      <c r="D698" t="str">
        <f>"N/A"</f>
        <v>N/A</v>
      </c>
      <c r="E698" t="str">
        <f>"PCM5106029"</f>
        <v>PCM5106029</v>
      </c>
      <c r="F698" t="str">
        <f>"CM-500"</f>
        <v>CM-500</v>
      </c>
      <c r="G698" t="str">
        <f>"ESD CONSTANT MONITOR  PRUEBAS 162X"</f>
        <v>ESD CONSTANT MONITOR  PRUEBAS 162X</v>
      </c>
      <c r="H698" t="str">
        <f>"zfernandez"</f>
        <v>zfernandez</v>
      </c>
      <c r="I698" t="str">
        <f>"058"</f>
        <v>058</v>
      </c>
      <c r="J698" t="str">
        <f t="shared" si="160"/>
        <v>N</v>
      </c>
    </row>
    <row r="699" spans="1:10">
      <c r="A699" t="str">
        <f>"0105MD16"</f>
        <v>0105MD16</v>
      </c>
      <c r="B699" t="str">
        <f>"ACT"</f>
        <v>ACT</v>
      </c>
      <c r="C699" t="str">
        <f>"04"</f>
        <v>04</v>
      </c>
      <c r="D699" t="str">
        <f>"TQP01366"</f>
        <v>TQP01366</v>
      </c>
      <c r="E699" t="str">
        <f>"2500941"</f>
        <v>2500941</v>
      </c>
      <c r="F699" t="str">
        <f>"ME2503"</f>
        <v>ME2503</v>
      </c>
      <c r="G699" t="str">
        <f>"FIBROSCIPE"</f>
        <v>FIBROSCIPE</v>
      </c>
      <c r="H699" t="str">
        <f>"jcastaneda"</f>
        <v>jcastaneda</v>
      </c>
      <c r="I699" t="str">
        <f>"055"</f>
        <v>055</v>
      </c>
      <c r="J699" t="str">
        <f t="shared" si="160"/>
        <v>N</v>
      </c>
    </row>
    <row r="700" spans="1:10">
      <c r="A700" t="str">
        <f>"0738QA00"</f>
        <v>0738QA00</v>
      </c>
      <c r="B700" t="str">
        <f>"ACT"</f>
        <v>ACT</v>
      </c>
      <c r="C700" t="str">
        <f>"17"</f>
        <v>17</v>
      </c>
      <c r="D700" t="str">
        <f>"TQP09471"</f>
        <v>TQP09471</v>
      </c>
      <c r="E700" t="str">
        <f>"11275"</f>
        <v>11275</v>
      </c>
      <c r="F700" t="str">
        <f>"MZ95"</f>
        <v>MZ95</v>
      </c>
      <c r="G700" t="str">
        <f>"MICROSCOPE"</f>
        <v>MICROSCOPE</v>
      </c>
      <c r="H700" t="str">
        <f>"hcharles"</f>
        <v>hcharles</v>
      </c>
      <c r="I700" t="str">
        <f>"044"</f>
        <v>044</v>
      </c>
      <c r="J700" t="str">
        <f t="shared" si="160"/>
        <v>N</v>
      </c>
    </row>
    <row r="701" spans="1:10">
      <c r="A701" t="str">
        <f>"LE-010-27106"</f>
        <v>LE-010-27106</v>
      </c>
      <c r="B701" t="str">
        <f>"INACT"</f>
        <v>INACT</v>
      </c>
      <c r="C701" t="str">
        <f>"01"</f>
        <v>01</v>
      </c>
      <c r="D701" t="str">
        <f>"N/A"</f>
        <v>N/A</v>
      </c>
      <c r="E701" t="str">
        <f>"CML-1100040"</f>
        <v>CML-1100040</v>
      </c>
      <c r="F701" t="str">
        <f>"CM-500A"</f>
        <v>CM-500A</v>
      </c>
      <c r="G701" t="str">
        <f>"ESD CONSTANT MONITOR"</f>
        <v>ESD CONSTANT MONITOR</v>
      </c>
      <c r="H701" t="str">
        <f>"avazquez"</f>
        <v>avazquez</v>
      </c>
      <c r="I701" t="str">
        <f>"058"</f>
        <v>058</v>
      </c>
      <c r="J701" t="str">
        <f t="shared" si="160"/>
        <v>N</v>
      </c>
    </row>
    <row r="702" spans="1:10">
      <c r="A702" t="str">
        <f>"0810TO01"</f>
        <v>0810TO01</v>
      </c>
      <c r="B702" t="str">
        <f t="shared" ref="B702:B709" si="171">"ACT"</f>
        <v>ACT</v>
      </c>
      <c r="C702" t="str">
        <f>"27"</f>
        <v>27</v>
      </c>
      <c r="D702" t="str">
        <f>"CYP1227"</f>
        <v>CYP1227</v>
      </c>
      <c r="E702" t="str">
        <f>"00036-155"</f>
        <v>00036-155</v>
      </c>
      <c r="F702" t="str">
        <f>"4000"</f>
        <v>4000</v>
      </c>
      <c r="G702" t="str">
        <f>"OAI LASER WELD SYSTEM  LW_2"</f>
        <v>OAI LASER WELD SYSTEM  LW_2</v>
      </c>
      <c r="H702" t="str">
        <f>"acerecero"</f>
        <v>acerecero</v>
      </c>
      <c r="I702" t="str">
        <f>"051"</f>
        <v>051</v>
      </c>
      <c r="J702" t="str">
        <f t="shared" si="160"/>
        <v>N</v>
      </c>
    </row>
    <row r="703" spans="1:10">
      <c r="A703" t="str">
        <f>"LE-011-02048"</f>
        <v>LE-011-02048</v>
      </c>
      <c r="B703" t="str">
        <f t="shared" si="171"/>
        <v>ACT</v>
      </c>
      <c r="C703" t="str">
        <f>"13"</f>
        <v>13</v>
      </c>
      <c r="D703" t="str">
        <f>"NA"</f>
        <v>NA</v>
      </c>
      <c r="E703" t="str">
        <f>"17663"</f>
        <v>17663</v>
      </c>
      <c r="F703" t="str">
        <f>"DMM2150"</f>
        <v>DMM2150</v>
      </c>
      <c r="G703" t="str">
        <f>"CYBONDER # 11"</f>
        <v>CYBONDER # 11</v>
      </c>
      <c r="H703" t="str">
        <f>"lecortez"</f>
        <v>lecortez</v>
      </c>
      <c r="I703" t="str">
        <f>"023"</f>
        <v>023</v>
      </c>
      <c r="J703" t="str">
        <f t="shared" si="160"/>
        <v>N</v>
      </c>
    </row>
    <row r="704" spans="1:10">
      <c r="A704" t="str">
        <f>"LE-001-05359"</f>
        <v>LE-001-05359</v>
      </c>
      <c r="B704" t="str">
        <f t="shared" si="171"/>
        <v>ACT</v>
      </c>
      <c r="C704" t="str">
        <f>"07"</f>
        <v>07</v>
      </c>
      <c r="D704" t="str">
        <f>"NA"</f>
        <v>NA</v>
      </c>
      <c r="E704" t="str">
        <f>"N02038"</f>
        <v>N02038</v>
      </c>
      <c r="F704" t="str">
        <f>"3321"</f>
        <v>3321</v>
      </c>
      <c r="G704" t="str">
        <f>"LCZ METER"</f>
        <v>LCZ METER</v>
      </c>
      <c r="H704" t="str">
        <f>"rramones"</f>
        <v>rramones</v>
      </c>
      <c r="I704" t="str">
        <f>"037"</f>
        <v>037</v>
      </c>
      <c r="J704" t="str">
        <f t="shared" si="160"/>
        <v>N</v>
      </c>
    </row>
    <row r="705" spans="1:10">
      <c r="A705" t="str">
        <f>"0845IT01"</f>
        <v>0845IT01</v>
      </c>
      <c r="B705" t="str">
        <f t="shared" si="171"/>
        <v>ACT</v>
      </c>
      <c r="C705" t="str">
        <f>"13"</f>
        <v>13</v>
      </c>
      <c r="D705" t="str">
        <f t="shared" ref="D705:D723" si="172">"N/A"</f>
        <v>N/A</v>
      </c>
      <c r="E705" t="str">
        <f>"24309900053"</f>
        <v>24309900053</v>
      </c>
      <c r="F705" t="str">
        <f>"3240"</f>
        <v>3240</v>
      </c>
      <c r="G705" t="str">
        <f t="shared" ref="G705:G711" si="173">"IMPRESORA DE ETIQUETAS"</f>
        <v>IMPRESORA DE ETIQUETAS</v>
      </c>
      <c r="H705" t="str">
        <f>"mcampos"</f>
        <v>mcampos</v>
      </c>
      <c r="I705" t="str">
        <f>"125"</f>
        <v>125</v>
      </c>
      <c r="J705" t="str">
        <f t="shared" si="160"/>
        <v>N</v>
      </c>
    </row>
    <row r="706" spans="1:10">
      <c r="A706" t="str">
        <f>"0845IT02"</f>
        <v>0845IT02</v>
      </c>
      <c r="B706" t="str">
        <f t="shared" si="171"/>
        <v>ACT</v>
      </c>
      <c r="C706" t="str">
        <f>"09"</f>
        <v>09</v>
      </c>
      <c r="D706" t="str">
        <f t="shared" si="172"/>
        <v>N/A</v>
      </c>
      <c r="E706" t="str">
        <f>"28500000016"</f>
        <v>28500000016</v>
      </c>
      <c r="F706" t="str">
        <f>"3440"</f>
        <v>3440</v>
      </c>
      <c r="G706" t="str">
        <f t="shared" si="173"/>
        <v>IMPRESORA DE ETIQUETAS</v>
      </c>
      <c r="H706" t="str">
        <f>"jtongo"</f>
        <v>jtongo</v>
      </c>
      <c r="I706" t="str">
        <f>"126"</f>
        <v>126</v>
      </c>
      <c r="J706" t="str">
        <f t="shared" si="160"/>
        <v>N</v>
      </c>
    </row>
    <row r="707" spans="1:10">
      <c r="A707" t="str">
        <f>"0845IT03"</f>
        <v>0845IT03</v>
      </c>
      <c r="B707" t="str">
        <f t="shared" si="171"/>
        <v>ACT</v>
      </c>
      <c r="C707" t="str">
        <f>"09"</f>
        <v>09</v>
      </c>
      <c r="D707" t="str">
        <f t="shared" si="172"/>
        <v>N/A</v>
      </c>
      <c r="E707" t="str">
        <f>"91C06030025"</f>
        <v>91C06030025</v>
      </c>
      <c r="F707" t="str">
        <f>"110XIIII"</f>
        <v>110XIIII</v>
      </c>
      <c r="G707" t="str">
        <f t="shared" si="173"/>
        <v>IMPRESORA DE ETIQUETAS</v>
      </c>
      <c r="H707" t="str">
        <f>"jtongo"</f>
        <v>jtongo</v>
      </c>
      <c r="I707" t="str">
        <f>"126"</f>
        <v>126</v>
      </c>
      <c r="J707" t="str">
        <f t="shared" si="160"/>
        <v>N</v>
      </c>
    </row>
    <row r="708" spans="1:10">
      <c r="A708" t="str">
        <f>"0845IT04"</f>
        <v>0845IT04</v>
      </c>
      <c r="B708" t="str">
        <f t="shared" si="171"/>
        <v>ACT</v>
      </c>
      <c r="C708" t="str">
        <f>"09"</f>
        <v>09</v>
      </c>
      <c r="D708" t="str">
        <f t="shared" si="172"/>
        <v>N/A</v>
      </c>
      <c r="E708" t="str">
        <f>"20300100457"</f>
        <v>20300100457</v>
      </c>
      <c r="F708" t="str">
        <f>"4440"</f>
        <v>4440</v>
      </c>
      <c r="G708" t="str">
        <f t="shared" si="173"/>
        <v>IMPRESORA DE ETIQUETAS</v>
      </c>
      <c r="H708" t="str">
        <f>"jtongo"</f>
        <v>jtongo</v>
      </c>
      <c r="I708" t="str">
        <f t="shared" ref="I708:I721" si="174">"125"</f>
        <v>125</v>
      </c>
      <c r="J708" t="str">
        <f t="shared" si="160"/>
        <v>N</v>
      </c>
    </row>
    <row r="709" spans="1:10">
      <c r="A709" t="str">
        <f>"0845IT05"</f>
        <v>0845IT05</v>
      </c>
      <c r="B709" t="str">
        <f t="shared" si="171"/>
        <v>ACT</v>
      </c>
      <c r="C709" t="str">
        <f>"04"</f>
        <v>04</v>
      </c>
      <c r="D709" t="str">
        <f t="shared" si="172"/>
        <v>N/A</v>
      </c>
      <c r="E709" t="str">
        <f>"97061000006"</f>
        <v>97061000006</v>
      </c>
      <c r="F709" t="str">
        <f>"3240"</f>
        <v>3240</v>
      </c>
      <c r="G709" t="str">
        <f t="shared" si="173"/>
        <v>IMPRESORA DE ETIQUETAS</v>
      </c>
      <c r="H709" t="str">
        <f>"jhernandez"</f>
        <v>jhernandez</v>
      </c>
      <c r="I709" t="str">
        <f t="shared" si="174"/>
        <v>125</v>
      </c>
      <c r="J709" t="str">
        <f t="shared" si="160"/>
        <v>N</v>
      </c>
    </row>
    <row r="710" spans="1:10">
      <c r="A710" t="str">
        <f>"0845IT07"</f>
        <v>0845IT07</v>
      </c>
      <c r="B710" t="str">
        <f>"INACT"</f>
        <v>INACT</v>
      </c>
      <c r="C710" t="str">
        <f>"01"</f>
        <v>01</v>
      </c>
      <c r="D710" t="str">
        <f t="shared" si="172"/>
        <v>N/A</v>
      </c>
      <c r="E710" t="str">
        <f>"33900000527"</f>
        <v>33900000527</v>
      </c>
      <c r="F710" t="str">
        <f>"3240"</f>
        <v>3240</v>
      </c>
      <c r="G710" t="str">
        <f t="shared" si="173"/>
        <v>IMPRESORA DE ETIQUETAS</v>
      </c>
      <c r="H710" t="str">
        <f>"jnieto"</f>
        <v>jnieto</v>
      </c>
      <c r="I710" t="str">
        <f t="shared" si="174"/>
        <v>125</v>
      </c>
      <c r="J710" t="str">
        <f t="shared" si="160"/>
        <v>N</v>
      </c>
    </row>
    <row r="711" spans="1:10">
      <c r="A711" t="str">
        <f>"0845IT08"</f>
        <v>0845IT08</v>
      </c>
      <c r="B711" t="str">
        <f>"INACT"</f>
        <v>INACT</v>
      </c>
      <c r="C711" t="str">
        <f>"01"</f>
        <v>01</v>
      </c>
      <c r="D711" t="str">
        <f t="shared" si="172"/>
        <v>N/A</v>
      </c>
      <c r="E711" t="str">
        <f>"29000000061"</f>
        <v>29000000061</v>
      </c>
      <c r="F711" t="str">
        <f>"3240"</f>
        <v>3240</v>
      </c>
      <c r="G711" t="str">
        <f t="shared" si="173"/>
        <v>IMPRESORA DE ETIQUETAS</v>
      </c>
      <c r="H711" t="str">
        <f>"jnieto"</f>
        <v>jnieto</v>
      </c>
      <c r="I711" t="str">
        <f t="shared" si="174"/>
        <v>125</v>
      </c>
      <c r="J711" t="str">
        <f t="shared" ref="J711:J774" si="175">"N"</f>
        <v>N</v>
      </c>
    </row>
    <row r="712" spans="1:10">
      <c r="A712" t="str">
        <f>"0845IT09"</f>
        <v>0845IT09</v>
      </c>
      <c r="B712" t="str">
        <f>"INACT"</f>
        <v>INACT</v>
      </c>
      <c r="C712" t="str">
        <f>"01"</f>
        <v>01</v>
      </c>
      <c r="D712" t="str">
        <f t="shared" si="172"/>
        <v>N/A</v>
      </c>
      <c r="E712" t="str">
        <f>"14400000534"</f>
        <v>14400000534</v>
      </c>
      <c r="F712" t="str">
        <f>"3440"</f>
        <v>3440</v>
      </c>
      <c r="G712" t="str">
        <f>"IMPRESORA DEETIQUETAS"</f>
        <v>IMPRESORA DEETIQUETAS</v>
      </c>
      <c r="H712" t="str">
        <f>"jnieto"</f>
        <v>jnieto</v>
      </c>
      <c r="I712" t="str">
        <f t="shared" si="174"/>
        <v>125</v>
      </c>
      <c r="J712" t="str">
        <f t="shared" si="175"/>
        <v>N</v>
      </c>
    </row>
    <row r="713" spans="1:10">
      <c r="A713" t="str">
        <f>"0845IT10"</f>
        <v>0845IT10</v>
      </c>
      <c r="B713" t="str">
        <f t="shared" ref="B713:B746" si="176">"ACT"</f>
        <v>ACT</v>
      </c>
      <c r="C713" t="str">
        <f>"04"</f>
        <v>04</v>
      </c>
      <c r="D713" t="str">
        <f t="shared" si="172"/>
        <v>N/A</v>
      </c>
      <c r="E713" t="str">
        <f>"34800000373"</f>
        <v>34800000373</v>
      </c>
      <c r="F713" t="str">
        <f>"3240"</f>
        <v>3240</v>
      </c>
      <c r="G713" t="str">
        <f t="shared" ref="G713:G721" si="177">"IMPRESORA DE ETIQUETAS"</f>
        <v>IMPRESORA DE ETIQUETAS</v>
      </c>
      <c r="H713" t="str">
        <f>"jhernandez"</f>
        <v>jhernandez</v>
      </c>
      <c r="I713" t="str">
        <f t="shared" si="174"/>
        <v>125</v>
      </c>
      <c r="J713" t="str">
        <f t="shared" si="175"/>
        <v>N</v>
      </c>
    </row>
    <row r="714" spans="1:10">
      <c r="A714" t="str">
        <f>"0845IT11"</f>
        <v>0845IT11</v>
      </c>
      <c r="B714" t="str">
        <f t="shared" si="176"/>
        <v>ACT</v>
      </c>
      <c r="C714" t="str">
        <f>"08"</f>
        <v>08</v>
      </c>
      <c r="D714" t="str">
        <f t="shared" si="172"/>
        <v>N/A</v>
      </c>
      <c r="E714" t="str">
        <f>"27600500351"</f>
        <v>27600500351</v>
      </c>
      <c r="F714" t="str">
        <f>"4440"</f>
        <v>4440</v>
      </c>
      <c r="G714" t="str">
        <f t="shared" si="177"/>
        <v>IMPRESORA DE ETIQUETAS</v>
      </c>
      <c r="H714" t="str">
        <f>"jnieto"</f>
        <v>jnieto</v>
      </c>
      <c r="I714" t="str">
        <f t="shared" si="174"/>
        <v>125</v>
      </c>
      <c r="J714" t="str">
        <f t="shared" si="175"/>
        <v>N</v>
      </c>
    </row>
    <row r="715" spans="1:10">
      <c r="A715" t="str">
        <f>"0845IT12"</f>
        <v>0845IT12</v>
      </c>
      <c r="B715" t="str">
        <f t="shared" si="176"/>
        <v>ACT</v>
      </c>
      <c r="C715" t="str">
        <f>"08"</f>
        <v>08</v>
      </c>
      <c r="D715" t="str">
        <f t="shared" si="172"/>
        <v>N/A</v>
      </c>
      <c r="E715" t="str">
        <f>"23009900307"</f>
        <v>23009900307</v>
      </c>
      <c r="F715" t="str">
        <f>"3400"</f>
        <v>3400</v>
      </c>
      <c r="G715" t="str">
        <f t="shared" si="177"/>
        <v>IMPRESORA DE ETIQUETAS</v>
      </c>
      <c r="H715" t="str">
        <f>"jnieto"</f>
        <v>jnieto</v>
      </c>
      <c r="I715" t="str">
        <f t="shared" si="174"/>
        <v>125</v>
      </c>
      <c r="J715" t="str">
        <f t="shared" si="175"/>
        <v>N</v>
      </c>
    </row>
    <row r="716" spans="1:10">
      <c r="A716" t="str">
        <f>"0845IT16"</f>
        <v>0845IT16</v>
      </c>
      <c r="B716" t="str">
        <f t="shared" si="176"/>
        <v>ACT</v>
      </c>
      <c r="C716" t="str">
        <f>"27"</f>
        <v>27</v>
      </c>
      <c r="D716" t="str">
        <f t="shared" si="172"/>
        <v>N/A</v>
      </c>
      <c r="E716" t="str">
        <f>"09909900456"</f>
        <v>09909900456</v>
      </c>
      <c r="F716" t="str">
        <f>"3240"</f>
        <v>3240</v>
      </c>
      <c r="G716" t="str">
        <f t="shared" si="177"/>
        <v>IMPRESORA DE ETIQUETAS</v>
      </c>
      <c r="H716" t="str">
        <f>"sarteaga"</f>
        <v>sarteaga</v>
      </c>
      <c r="I716" t="str">
        <f t="shared" si="174"/>
        <v>125</v>
      </c>
      <c r="J716" t="str">
        <f t="shared" si="175"/>
        <v>N</v>
      </c>
    </row>
    <row r="717" spans="1:10">
      <c r="A717" t="str">
        <f>"0845IT17"</f>
        <v>0845IT17</v>
      </c>
      <c r="B717" t="str">
        <f t="shared" si="176"/>
        <v>ACT</v>
      </c>
      <c r="C717" t="str">
        <f>"30"</f>
        <v>30</v>
      </c>
      <c r="D717" t="str">
        <f t="shared" si="172"/>
        <v>N/A</v>
      </c>
      <c r="E717" t="str">
        <f>"06009900285"</f>
        <v>06009900285</v>
      </c>
      <c r="F717" t="str">
        <f>"3240"</f>
        <v>3240</v>
      </c>
      <c r="G717" t="str">
        <f t="shared" si="177"/>
        <v>IMPRESORA DE ETIQUETAS</v>
      </c>
      <c r="H717" t="str">
        <f>"gbejar"</f>
        <v>gbejar</v>
      </c>
      <c r="I717" t="str">
        <f t="shared" si="174"/>
        <v>125</v>
      </c>
      <c r="J717" t="str">
        <f t="shared" si="175"/>
        <v>N</v>
      </c>
    </row>
    <row r="718" spans="1:10">
      <c r="A718" t="str">
        <f>"0845IT18"</f>
        <v>0845IT18</v>
      </c>
      <c r="B718" t="str">
        <f t="shared" si="176"/>
        <v>ACT</v>
      </c>
      <c r="C718" t="str">
        <f>"12"</f>
        <v>12</v>
      </c>
      <c r="D718" t="str">
        <f t="shared" si="172"/>
        <v>N/A</v>
      </c>
      <c r="E718" t="str">
        <f>"14400000535"</f>
        <v>14400000535</v>
      </c>
      <c r="F718" t="str">
        <f>"3440"</f>
        <v>3440</v>
      </c>
      <c r="G718" t="str">
        <f t="shared" si="177"/>
        <v>IMPRESORA DE ETIQUETAS</v>
      </c>
      <c r="H718" t="str">
        <f>"jhernandez"</f>
        <v>jhernandez</v>
      </c>
      <c r="I718" t="str">
        <f t="shared" si="174"/>
        <v>125</v>
      </c>
      <c r="J718" t="str">
        <f t="shared" si="175"/>
        <v>N</v>
      </c>
    </row>
    <row r="719" spans="1:10">
      <c r="A719" t="str">
        <f>"0845IT19"</f>
        <v>0845IT19</v>
      </c>
      <c r="B719" t="str">
        <f t="shared" si="176"/>
        <v>ACT</v>
      </c>
      <c r="C719" t="str">
        <f>"12"</f>
        <v>12</v>
      </c>
      <c r="D719" t="str">
        <f t="shared" si="172"/>
        <v>N/A</v>
      </c>
      <c r="E719" t="str">
        <f>"31900000030"</f>
        <v>31900000030</v>
      </c>
      <c r="F719" t="str">
        <f>"3440"</f>
        <v>3440</v>
      </c>
      <c r="G719" t="str">
        <f t="shared" si="177"/>
        <v>IMPRESORA DE ETIQUETAS</v>
      </c>
      <c r="H719" t="str">
        <f>"jhernandez"</f>
        <v>jhernandez</v>
      </c>
      <c r="I719" t="str">
        <f t="shared" si="174"/>
        <v>125</v>
      </c>
      <c r="J719" t="str">
        <f t="shared" si="175"/>
        <v>N</v>
      </c>
    </row>
    <row r="720" spans="1:10">
      <c r="A720" t="str">
        <f>"0845IT20"</f>
        <v>0845IT20</v>
      </c>
      <c r="B720" t="str">
        <f t="shared" si="176"/>
        <v>ACT</v>
      </c>
      <c r="C720" t="str">
        <f>"09"</f>
        <v>09</v>
      </c>
      <c r="D720" t="str">
        <f t="shared" si="172"/>
        <v>N/A</v>
      </c>
      <c r="E720" t="str">
        <f>"34800000365"</f>
        <v>34800000365</v>
      </c>
      <c r="F720" t="str">
        <f>"3240"</f>
        <v>3240</v>
      </c>
      <c r="G720" t="str">
        <f t="shared" si="177"/>
        <v>IMPRESORA DE ETIQUETAS</v>
      </c>
      <c r="H720" t="str">
        <f>"jtongo"</f>
        <v>jtongo</v>
      </c>
      <c r="I720" t="str">
        <f t="shared" si="174"/>
        <v>125</v>
      </c>
      <c r="J720" t="str">
        <f t="shared" si="175"/>
        <v>N</v>
      </c>
    </row>
    <row r="721" spans="1:10">
      <c r="A721" t="str">
        <f>"0845IT21"</f>
        <v>0845IT21</v>
      </c>
      <c r="B721" t="str">
        <f t="shared" si="176"/>
        <v>ACT</v>
      </c>
      <c r="C721" t="str">
        <f>"07"</f>
        <v>07</v>
      </c>
      <c r="D721" t="str">
        <f t="shared" si="172"/>
        <v>N/A</v>
      </c>
      <c r="E721" t="str">
        <f>"98113000240"</f>
        <v>98113000240</v>
      </c>
      <c r="F721" t="str">
        <f>"3240"</f>
        <v>3240</v>
      </c>
      <c r="G721" t="str">
        <f t="shared" si="177"/>
        <v>IMPRESORA DE ETIQUETAS</v>
      </c>
      <c r="H721" t="str">
        <f>"jhernandez"</f>
        <v>jhernandez</v>
      </c>
      <c r="I721" t="str">
        <f t="shared" si="174"/>
        <v>125</v>
      </c>
      <c r="J721" t="str">
        <f t="shared" si="175"/>
        <v>N</v>
      </c>
    </row>
    <row r="722" spans="1:10">
      <c r="A722" t="str">
        <f>"LE-010-26875"</f>
        <v>LE-010-26875</v>
      </c>
      <c r="B722" t="str">
        <f t="shared" si="176"/>
        <v>ACT</v>
      </c>
      <c r="C722" t="str">
        <f>"30"</f>
        <v>30</v>
      </c>
      <c r="D722" t="str">
        <f t="shared" si="172"/>
        <v>N/A</v>
      </c>
      <c r="E722" t="str">
        <f>"KS-001200031"</f>
        <v>KS-001200031</v>
      </c>
      <c r="F722" t="str">
        <f>"KS-4220"</f>
        <v>KS-4220</v>
      </c>
      <c r="G722" t="str">
        <f>"ESD IONIZER"</f>
        <v>ESD IONIZER</v>
      </c>
      <c r="H722" t="str">
        <f>"mvazquez"</f>
        <v>mvazquez</v>
      </c>
      <c r="I722" t="str">
        <f>"120"</f>
        <v>120</v>
      </c>
      <c r="J722" t="str">
        <f t="shared" si="175"/>
        <v>N</v>
      </c>
    </row>
    <row r="723" spans="1:10">
      <c r="A723" t="str">
        <f>"LE-003-00808"</f>
        <v>LE-003-00808</v>
      </c>
      <c r="B723" t="str">
        <f t="shared" si="176"/>
        <v>ACT</v>
      </c>
      <c r="C723" t="str">
        <f>"30"</f>
        <v>30</v>
      </c>
      <c r="D723" t="str">
        <f t="shared" si="172"/>
        <v>N/A</v>
      </c>
      <c r="E723" t="str">
        <f>"HJ3100-1091"</f>
        <v>HJ3100-1091</v>
      </c>
      <c r="F723" t="str">
        <f>"HJ3100"</f>
        <v>HJ3100</v>
      </c>
      <c r="G723" t="str">
        <f>"FUME EXTRACTION"</f>
        <v>FUME EXTRACTION</v>
      </c>
      <c r="H723" t="str">
        <f>"gbejar"</f>
        <v>gbejar</v>
      </c>
      <c r="I723" t="str">
        <f>"034"</f>
        <v>034</v>
      </c>
      <c r="J723" t="str">
        <f t="shared" si="175"/>
        <v>N</v>
      </c>
    </row>
    <row r="724" spans="1:10">
      <c r="A724" t="str">
        <f>"LE-010-28460"</f>
        <v>LE-010-28460</v>
      </c>
      <c r="B724" t="str">
        <f t="shared" si="176"/>
        <v>ACT</v>
      </c>
      <c r="C724" t="str">
        <f>"31"</f>
        <v>31</v>
      </c>
      <c r="D724" t="str">
        <f>"NA"</f>
        <v>NA</v>
      </c>
      <c r="E724" t="str">
        <f>"704125T"</f>
        <v>704125T</v>
      </c>
      <c r="F724" t="str">
        <f>"1500XL"</f>
        <v>1500XL</v>
      </c>
      <c r="G724" t="str">
        <f>"DISPENSER"</f>
        <v>DISPENSER</v>
      </c>
      <c r="H724" t="str">
        <f>"jhernandez"</f>
        <v>jhernandez</v>
      </c>
      <c r="I724" t="str">
        <f>"024"</f>
        <v>024</v>
      </c>
      <c r="J724" t="str">
        <f t="shared" si="175"/>
        <v>N</v>
      </c>
    </row>
    <row r="725" spans="1:10">
      <c r="A725" t="str">
        <f>"0924TO00"</f>
        <v>0924TO00</v>
      </c>
      <c r="B725" t="str">
        <f t="shared" si="176"/>
        <v>ACT</v>
      </c>
      <c r="C725" t="str">
        <f>"27"</f>
        <v>27</v>
      </c>
      <c r="D725" t="str">
        <f>"CYP1008"</f>
        <v>CYP1008</v>
      </c>
      <c r="E725" t="str">
        <f>"N/A"</f>
        <v>N/A</v>
      </c>
      <c r="F725" t="str">
        <f>"CT-15"</f>
        <v>CT-15</v>
      </c>
      <c r="G725" t="str">
        <f>"TEMPERATURE CONTROLLER -MINCO"</f>
        <v>TEMPERATURE CONTROLLER -MINCO</v>
      </c>
      <c r="H725" t="str">
        <f>"cgallegos"</f>
        <v>cgallegos</v>
      </c>
      <c r="I725" t="str">
        <f>"081"</f>
        <v>081</v>
      </c>
      <c r="J725" t="str">
        <f t="shared" si="175"/>
        <v>N</v>
      </c>
    </row>
    <row r="726" spans="1:10">
      <c r="A726" t="str">
        <f>"0914PG13"</f>
        <v>0914PG13</v>
      </c>
      <c r="B726" t="str">
        <f t="shared" si="176"/>
        <v>ACT</v>
      </c>
      <c r="C726" t="str">
        <f>"30"</f>
        <v>30</v>
      </c>
      <c r="D726" t="str">
        <f>"N/A"</f>
        <v>N/A</v>
      </c>
      <c r="E726" t="str">
        <f>"N/A"</f>
        <v>N/A</v>
      </c>
      <c r="F726" t="str">
        <f>"N/A"</f>
        <v>N/A</v>
      </c>
      <c r="G726" t="str">
        <f>"EQUIPO DE PRUEBA ELECTRICA  (DTL)  "</f>
        <v xml:space="preserve">EQUIPO DE PRUEBA ELECTRICA  (DTL)  </v>
      </c>
      <c r="H726" t="str">
        <f>"jcastaneda"</f>
        <v>jcastaneda</v>
      </c>
      <c r="I726" t="str">
        <f>"081"</f>
        <v>081</v>
      </c>
      <c r="J726" t="str">
        <f t="shared" si="175"/>
        <v>N</v>
      </c>
    </row>
    <row r="727" spans="1:10">
      <c r="A727" t="str">
        <f>"0914PG14"</f>
        <v>0914PG14</v>
      </c>
      <c r="B727" t="str">
        <f t="shared" si="176"/>
        <v>ACT</v>
      </c>
      <c r="C727" t="str">
        <f>"30"</f>
        <v>30</v>
      </c>
      <c r="D727" t="str">
        <f>"N/A"</f>
        <v>N/A</v>
      </c>
      <c r="E727" t="str">
        <f>"N/A"</f>
        <v>N/A</v>
      </c>
      <c r="F727" t="str">
        <f>"N/A"</f>
        <v>N/A</v>
      </c>
      <c r="G727" t="str">
        <f>"EQUIPO DE PRUEBA FUNCIONAL (DTL)"</f>
        <v>EQUIPO DE PRUEBA FUNCIONAL (DTL)</v>
      </c>
      <c r="H727" t="str">
        <f>"jcastaneda"</f>
        <v>jcastaneda</v>
      </c>
      <c r="I727" t="str">
        <f>"081"</f>
        <v>081</v>
      </c>
      <c r="J727" t="str">
        <f t="shared" si="175"/>
        <v>N</v>
      </c>
    </row>
    <row r="728" spans="1:10">
      <c r="A728" t="str">
        <f>"0914PG15"</f>
        <v>0914PG15</v>
      </c>
      <c r="B728" t="str">
        <f t="shared" si="176"/>
        <v>ACT</v>
      </c>
      <c r="C728" t="str">
        <f>"30"</f>
        <v>30</v>
      </c>
      <c r="D728" t="str">
        <f>"N/A"</f>
        <v>N/A</v>
      </c>
      <c r="E728" t="str">
        <f>"N/A"</f>
        <v>N/A</v>
      </c>
      <c r="F728" t="str">
        <f>"N/A"</f>
        <v>N/A</v>
      </c>
      <c r="G728" t="str">
        <f>"EQUIPO BURNIN -M"</f>
        <v>EQUIPO BURNIN -M</v>
      </c>
      <c r="H728" t="str">
        <f>"jcastaneda"</f>
        <v>jcastaneda</v>
      </c>
      <c r="I728" t="str">
        <f>"081"</f>
        <v>081</v>
      </c>
      <c r="J728" t="str">
        <f t="shared" si="175"/>
        <v>N</v>
      </c>
    </row>
    <row r="729" spans="1:10">
      <c r="A729" t="str">
        <f>"0914PG06"</f>
        <v>0914PG06</v>
      </c>
      <c r="B729" t="str">
        <f t="shared" si="176"/>
        <v>ACT</v>
      </c>
      <c r="C729" t="str">
        <f>"30"</f>
        <v>30</v>
      </c>
      <c r="D729" t="str">
        <f>"1048197"</f>
        <v>1048197</v>
      </c>
      <c r="E729" t="str">
        <f>"0002"</f>
        <v>0002</v>
      </c>
      <c r="F729" t="str">
        <f>"ALFIBER 300"</f>
        <v>ALFIBER 300</v>
      </c>
      <c r="G729" t="str">
        <f>"ETALON ALIGNER"</f>
        <v>ETALON ALIGNER</v>
      </c>
      <c r="H729" t="str">
        <f>"gramirez"</f>
        <v>gramirez</v>
      </c>
      <c r="I729" t="str">
        <f>"127"</f>
        <v>127</v>
      </c>
      <c r="J729" t="str">
        <f t="shared" si="175"/>
        <v>N</v>
      </c>
    </row>
    <row r="730" spans="1:10">
      <c r="A730" t="str">
        <f>"0339NT00"</f>
        <v>0339NT00</v>
      </c>
      <c r="B730" t="str">
        <f t="shared" si="176"/>
        <v>ACT</v>
      </c>
      <c r="C730" t="str">
        <f>"09"</f>
        <v>09</v>
      </c>
      <c r="D730" t="str">
        <f>"TQP00322"</f>
        <v>TQP00322</v>
      </c>
      <c r="E730" t="str">
        <f>"30543"</f>
        <v>30543</v>
      </c>
      <c r="F730" t="str">
        <f>"2800"</f>
        <v>2800</v>
      </c>
      <c r="G730" t="str">
        <f>"ENVIROMENT TEST CHAMBER"</f>
        <v>ENVIROMENT TEST CHAMBER</v>
      </c>
      <c r="H730" t="str">
        <f>"garaiza"</f>
        <v>garaiza</v>
      </c>
      <c r="I730" t="str">
        <f>"069"</f>
        <v>069</v>
      </c>
      <c r="J730" t="str">
        <f t="shared" si="175"/>
        <v>N</v>
      </c>
    </row>
    <row r="731" spans="1:10">
      <c r="A731" t="str">
        <f>"0930TO00"</f>
        <v>0930TO00</v>
      </c>
      <c r="B731" t="str">
        <f t="shared" si="176"/>
        <v>ACT</v>
      </c>
      <c r="C731" t="str">
        <f>"27"</f>
        <v>27</v>
      </c>
      <c r="D731" t="str">
        <f>"N/A"</f>
        <v>N/A</v>
      </c>
      <c r="E731" t="str">
        <f>"CML-1100188"</f>
        <v>CML-1100188</v>
      </c>
      <c r="F731" t="str">
        <f>"CM-500"</f>
        <v>CM-500</v>
      </c>
      <c r="G731" t="str">
        <f>"ESD CONSTANT MONITOR"</f>
        <v>ESD CONSTANT MONITOR</v>
      </c>
      <c r="H731" t="str">
        <f>"mvazquez"</f>
        <v>mvazquez</v>
      </c>
      <c r="I731" t="str">
        <f>"058"</f>
        <v>058</v>
      </c>
      <c r="J731" t="str">
        <f t="shared" si="175"/>
        <v>N</v>
      </c>
    </row>
    <row r="732" spans="1:10">
      <c r="A732" t="str">
        <f>"LE-001-04914"</f>
        <v>LE-001-04914</v>
      </c>
      <c r="B732" t="str">
        <f t="shared" si="176"/>
        <v>ACT</v>
      </c>
      <c r="C732" t="str">
        <f>"13"</f>
        <v>13</v>
      </c>
      <c r="D732" t="str">
        <f>"N/A"</f>
        <v>N/A</v>
      </c>
      <c r="E732" t="str">
        <f>"N/A"</f>
        <v>N/A</v>
      </c>
      <c r="F732" t="str">
        <f>"N/A"</f>
        <v>N/A</v>
      </c>
      <c r="G732" t="str">
        <f>"OSA PURGE # 21"</f>
        <v>OSA PURGE # 21</v>
      </c>
      <c r="H732" t="str">
        <f>"jmarmolejo"</f>
        <v>jmarmolejo</v>
      </c>
      <c r="I732" t="str">
        <f>"081"</f>
        <v>081</v>
      </c>
      <c r="J732" t="str">
        <f t="shared" si="175"/>
        <v>N</v>
      </c>
    </row>
    <row r="733" spans="1:10">
      <c r="A733" t="str">
        <f>"LE-001-05297"</f>
        <v>LE-001-05297</v>
      </c>
      <c r="B733" t="str">
        <f t="shared" si="176"/>
        <v>ACT</v>
      </c>
      <c r="C733" t="str">
        <f>"37"</f>
        <v>37</v>
      </c>
      <c r="D733" t="str">
        <f>"TQP13023"</f>
        <v>TQP13023</v>
      </c>
      <c r="E733" t="str">
        <f>"N/A"</f>
        <v>N/A</v>
      </c>
      <c r="F733" t="str">
        <f>"N/A"</f>
        <v>N/A</v>
      </c>
      <c r="G733" t="str">
        <f>"TEST SET RACK BER #7"</f>
        <v>TEST SET RACK BER #7</v>
      </c>
      <c r="H733" t="str">
        <f>"jgallo"</f>
        <v>jgallo</v>
      </c>
      <c r="I733" t="str">
        <f>"081"</f>
        <v>081</v>
      </c>
      <c r="J733" t="str">
        <f t="shared" si="175"/>
        <v>N</v>
      </c>
    </row>
    <row r="734" spans="1:10">
      <c r="A734" t="str">
        <f>"0834TO00"</f>
        <v>0834TO00</v>
      </c>
      <c r="B734" t="str">
        <f t="shared" si="176"/>
        <v>ACT</v>
      </c>
      <c r="C734" t="str">
        <f>"27"</f>
        <v>27</v>
      </c>
      <c r="D734" t="str">
        <f>"CYP2142"</f>
        <v>CYP2142</v>
      </c>
      <c r="E734" t="str">
        <f>"27538-26"</f>
        <v>27538-26</v>
      </c>
      <c r="F734" t="str">
        <f>"T5S-5"</f>
        <v>T5S-5</v>
      </c>
      <c r="G734" t="str">
        <f>"CHAMBER THERMAL SCHOCK"</f>
        <v>CHAMBER THERMAL SCHOCK</v>
      </c>
      <c r="H734" t="str">
        <f t="shared" ref="H734:H746" si="178">"cgallegos"</f>
        <v>cgallegos</v>
      </c>
      <c r="I734" t="str">
        <f>"129"</f>
        <v>129</v>
      </c>
      <c r="J734" t="str">
        <f t="shared" si="175"/>
        <v>N</v>
      </c>
    </row>
    <row r="735" spans="1:10">
      <c r="A735" t="str">
        <f>"0744TO00"</f>
        <v>0744TO00</v>
      </c>
      <c r="B735" t="str">
        <f t="shared" si="176"/>
        <v>ACT</v>
      </c>
      <c r="C735" t="str">
        <f>"27"</f>
        <v>27</v>
      </c>
      <c r="D735" t="str">
        <f>"TQP21345"</f>
        <v>TQP21345</v>
      </c>
      <c r="E735" t="str">
        <f>"01-CT13772"</f>
        <v>01-CT13772</v>
      </c>
      <c r="F735" t="str">
        <f>"CT-16-10-SCT/AC"</f>
        <v>CT-16-10-SCT/AC</v>
      </c>
      <c r="G735" t="str">
        <f>"CHAMBER THERMAL SCHOCK"</f>
        <v>CHAMBER THERMAL SCHOCK</v>
      </c>
      <c r="H735" t="str">
        <f t="shared" si="178"/>
        <v>cgallegos</v>
      </c>
      <c r="I735" t="str">
        <f>"130"</f>
        <v>130</v>
      </c>
      <c r="J735" t="str">
        <f t="shared" si="175"/>
        <v>N</v>
      </c>
    </row>
    <row r="736" spans="1:10">
      <c r="A736" t="str">
        <f>"LE-041-00650"</f>
        <v>LE-041-00650</v>
      </c>
      <c r="B736" t="str">
        <f t="shared" si="176"/>
        <v>ACT</v>
      </c>
      <c r="C736" t="str">
        <f>"31"</f>
        <v>31</v>
      </c>
      <c r="D736" t="str">
        <f>"TQP11017"</f>
        <v>TQP11017</v>
      </c>
      <c r="E736" t="str">
        <f>"15100192"</f>
        <v>15100192</v>
      </c>
      <c r="F736" t="str">
        <f>"TSE-10"</f>
        <v>TSE-10</v>
      </c>
      <c r="G736" t="str">
        <f t="shared" ref="G736:G741" si="179">"CHAMBER THERMAL SHOCK"</f>
        <v>CHAMBER THERMAL SHOCK</v>
      </c>
      <c r="H736" t="str">
        <f t="shared" si="178"/>
        <v>cgallegos</v>
      </c>
      <c r="I736" t="str">
        <f t="shared" ref="I736:I741" si="180">"028"</f>
        <v>028</v>
      </c>
      <c r="J736" t="str">
        <f t="shared" si="175"/>
        <v>N</v>
      </c>
    </row>
    <row r="737" spans="1:10">
      <c r="A737" t="str">
        <f>"LE-041-00739"</f>
        <v>LE-041-00739</v>
      </c>
      <c r="B737" t="str">
        <f t="shared" si="176"/>
        <v>ACT</v>
      </c>
      <c r="C737" t="str">
        <f>"04"</f>
        <v>04</v>
      </c>
      <c r="D737" t="str">
        <f>"TQP00331"</f>
        <v>TQP00331</v>
      </c>
      <c r="E737" t="str">
        <f>"153000193"</f>
        <v>153000193</v>
      </c>
      <c r="F737" t="str">
        <f>"TSA-101L-A"</f>
        <v>TSA-101L-A</v>
      </c>
      <c r="G737" t="str">
        <f t="shared" si="179"/>
        <v>CHAMBER THERMAL SHOCK</v>
      </c>
      <c r="H737" t="str">
        <f t="shared" si="178"/>
        <v>cgallegos</v>
      </c>
      <c r="I737" t="str">
        <f t="shared" si="180"/>
        <v>028</v>
      </c>
      <c r="J737" t="str">
        <f t="shared" si="175"/>
        <v>N</v>
      </c>
    </row>
    <row r="738" spans="1:10">
      <c r="A738" t="str">
        <f>"LE-041-00738"</f>
        <v>LE-041-00738</v>
      </c>
      <c r="B738" t="str">
        <f t="shared" si="176"/>
        <v>ACT</v>
      </c>
      <c r="C738" t="str">
        <f>"04"</f>
        <v>04</v>
      </c>
      <c r="D738" t="str">
        <f>"TQP00334"</f>
        <v>TQP00334</v>
      </c>
      <c r="E738" t="str">
        <f>"153000189"</f>
        <v>153000189</v>
      </c>
      <c r="F738" t="str">
        <f>"TSA-101L-A"</f>
        <v>TSA-101L-A</v>
      </c>
      <c r="G738" t="str">
        <f t="shared" si="179"/>
        <v>CHAMBER THERMAL SHOCK</v>
      </c>
      <c r="H738" t="str">
        <f t="shared" si="178"/>
        <v>cgallegos</v>
      </c>
      <c r="I738" t="str">
        <f t="shared" si="180"/>
        <v>028</v>
      </c>
      <c r="J738" t="str">
        <f t="shared" si="175"/>
        <v>N</v>
      </c>
    </row>
    <row r="739" spans="1:10">
      <c r="A739" t="str">
        <f>"LE-041-00803"</f>
        <v>LE-041-00803</v>
      </c>
      <c r="B739" t="str">
        <f t="shared" si="176"/>
        <v>ACT</v>
      </c>
      <c r="C739" t="str">
        <f>"04"</f>
        <v>04</v>
      </c>
      <c r="D739" t="str">
        <f>"TQP00332"</f>
        <v>TQP00332</v>
      </c>
      <c r="E739" t="str">
        <f>"153000194"</f>
        <v>153000194</v>
      </c>
      <c r="F739" t="str">
        <f>"TSA-101L-A"</f>
        <v>TSA-101L-A</v>
      </c>
      <c r="G739" t="str">
        <f t="shared" si="179"/>
        <v>CHAMBER THERMAL SHOCK</v>
      </c>
      <c r="H739" t="str">
        <f t="shared" si="178"/>
        <v>cgallegos</v>
      </c>
      <c r="I739" t="str">
        <f t="shared" si="180"/>
        <v>028</v>
      </c>
      <c r="J739" t="str">
        <f t="shared" si="175"/>
        <v>N</v>
      </c>
    </row>
    <row r="740" spans="1:10">
      <c r="A740" t="str">
        <f>"LE-041-00646"</f>
        <v>LE-041-00646</v>
      </c>
      <c r="B740" t="str">
        <f t="shared" si="176"/>
        <v>ACT</v>
      </c>
      <c r="C740" t="str">
        <f>"04"</f>
        <v>04</v>
      </c>
      <c r="D740" t="str">
        <f>"TQP00333"</f>
        <v>TQP00333</v>
      </c>
      <c r="E740" t="str">
        <f>"152001046"</f>
        <v>152001046</v>
      </c>
      <c r="F740" t="str">
        <f>"TSA-70L-A"</f>
        <v>TSA-70L-A</v>
      </c>
      <c r="G740" t="str">
        <f t="shared" si="179"/>
        <v>CHAMBER THERMAL SHOCK</v>
      </c>
      <c r="H740" t="str">
        <f t="shared" si="178"/>
        <v>cgallegos</v>
      </c>
      <c r="I740" t="str">
        <f t="shared" si="180"/>
        <v>028</v>
      </c>
      <c r="J740" t="str">
        <f t="shared" si="175"/>
        <v>N</v>
      </c>
    </row>
    <row r="741" spans="1:10">
      <c r="A741" t="str">
        <f>"0744TO02"</f>
        <v>0744TO02</v>
      </c>
      <c r="B741" t="str">
        <f t="shared" si="176"/>
        <v>ACT</v>
      </c>
      <c r="C741" t="str">
        <f>"04"</f>
        <v>04</v>
      </c>
      <c r="D741" t="str">
        <f>"TQP20792"</f>
        <v>TQP20792</v>
      </c>
      <c r="E741" t="str">
        <f>"153000201"</f>
        <v>153000201</v>
      </c>
      <c r="F741" t="str">
        <f>"TSA-71L"</f>
        <v>TSA-71L</v>
      </c>
      <c r="G741" t="str">
        <f t="shared" si="179"/>
        <v>CHAMBER THERMAL SHOCK</v>
      </c>
      <c r="H741" t="str">
        <f t="shared" si="178"/>
        <v>cgallegos</v>
      </c>
      <c r="I741" t="str">
        <f t="shared" si="180"/>
        <v>028</v>
      </c>
      <c r="J741" t="str">
        <f t="shared" si="175"/>
        <v>N</v>
      </c>
    </row>
    <row r="742" spans="1:10">
      <c r="A742" t="str">
        <f>"LE-041-00723"</f>
        <v>LE-041-00723</v>
      </c>
      <c r="B742" t="str">
        <f t="shared" si="176"/>
        <v>ACT</v>
      </c>
      <c r="C742" t="str">
        <f>"13"</f>
        <v>13</v>
      </c>
      <c r="D742" t="str">
        <f>"TQP09382"</f>
        <v>TQP09382</v>
      </c>
      <c r="E742" t="str">
        <f>"29782"</f>
        <v>29782</v>
      </c>
      <c r="F742" t="str">
        <f>"S-8C"</f>
        <v>S-8C</v>
      </c>
      <c r="G742" t="str">
        <f>"THERMAL SHOCK CHAMBER"</f>
        <v>THERMAL SHOCK CHAMBER</v>
      </c>
      <c r="H742" t="str">
        <f t="shared" si="178"/>
        <v>cgallegos</v>
      </c>
      <c r="I742" t="str">
        <f>"069"</f>
        <v>069</v>
      </c>
      <c r="J742" t="str">
        <f t="shared" si="175"/>
        <v>N</v>
      </c>
    </row>
    <row r="743" spans="1:10">
      <c r="A743" t="str">
        <f>"LE-041-00797"</f>
        <v>LE-041-00797</v>
      </c>
      <c r="B743" t="str">
        <f t="shared" si="176"/>
        <v>ACT</v>
      </c>
      <c r="C743" t="str">
        <f>"09"</f>
        <v>09</v>
      </c>
      <c r="D743" t="str">
        <f>"TQP00392"</f>
        <v>TQP00392</v>
      </c>
      <c r="E743" t="str">
        <f>"30941"</f>
        <v>30941</v>
      </c>
      <c r="F743" t="str">
        <f>"S-8C"</f>
        <v>S-8C</v>
      </c>
      <c r="G743" t="str">
        <f>"THERMAL SHOCK CHAMBER"</f>
        <v>THERMAL SHOCK CHAMBER</v>
      </c>
      <c r="H743" t="str">
        <f t="shared" si="178"/>
        <v>cgallegos</v>
      </c>
      <c r="I743" t="str">
        <f>"069"</f>
        <v>069</v>
      </c>
      <c r="J743" t="str">
        <f t="shared" si="175"/>
        <v>N</v>
      </c>
    </row>
    <row r="744" spans="1:10">
      <c r="A744" t="str">
        <f>"0319UR14"</f>
        <v>0319UR14</v>
      </c>
      <c r="B744" t="str">
        <f t="shared" si="176"/>
        <v>ACT</v>
      </c>
      <c r="C744" t="str">
        <f>"04"</f>
        <v>04</v>
      </c>
      <c r="D744" t="str">
        <f>"TQP00316"</f>
        <v>TQP00316</v>
      </c>
      <c r="E744" t="str">
        <f>"OV4-1403"</f>
        <v>OV4-1403</v>
      </c>
      <c r="F744" t="str">
        <f>"1670"</f>
        <v>1670</v>
      </c>
      <c r="G744" t="str">
        <f>"OVEN"</f>
        <v>OVEN</v>
      </c>
      <c r="H744" t="str">
        <f t="shared" si="178"/>
        <v>cgallegos</v>
      </c>
      <c r="I744" t="str">
        <f>"099"</f>
        <v>099</v>
      </c>
      <c r="J744" t="str">
        <f t="shared" si="175"/>
        <v>N</v>
      </c>
    </row>
    <row r="745" spans="1:10">
      <c r="A745" t="str">
        <f>"0419LD00"</f>
        <v>0419LD00</v>
      </c>
      <c r="B745" t="str">
        <f t="shared" si="176"/>
        <v>ACT</v>
      </c>
      <c r="C745" t="str">
        <f>"04"</f>
        <v>04</v>
      </c>
      <c r="D745" t="str">
        <f>"TQP00359"</f>
        <v>TQP00359</v>
      </c>
      <c r="E745" t="str">
        <f>"P21-107"</f>
        <v>P21-107</v>
      </c>
      <c r="F745" t="str">
        <f>"POM-563A"</f>
        <v>POM-563A</v>
      </c>
      <c r="G745" t="str">
        <f>"OVEN"</f>
        <v>OVEN</v>
      </c>
      <c r="H745" t="str">
        <f t="shared" si="178"/>
        <v>cgallegos</v>
      </c>
      <c r="I745" t="str">
        <f>"012"</f>
        <v>012</v>
      </c>
      <c r="J745" t="str">
        <f t="shared" si="175"/>
        <v>N</v>
      </c>
    </row>
    <row r="746" spans="1:10">
      <c r="A746" t="str">
        <f>"LE-010-24977"</f>
        <v>LE-010-24977</v>
      </c>
      <c r="B746" t="str">
        <f t="shared" si="176"/>
        <v>ACT</v>
      </c>
      <c r="C746" t="str">
        <f>"04"</f>
        <v>04</v>
      </c>
      <c r="D746" t="str">
        <f>"TQP00393"</f>
        <v>TQP00393</v>
      </c>
      <c r="E746" t="str">
        <f>"DC-8670"</f>
        <v>DC-8670</v>
      </c>
      <c r="F746" t="str">
        <f>"DC-206-B-ST350"</f>
        <v>DC-206-B-ST350</v>
      </c>
      <c r="G746" t="str">
        <f>"OVEN"</f>
        <v>OVEN</v>
      </c>
      <c r="H746" t="str">
        <f t="shared" si="178"/>
        <v>cgallegos</v>
      </c>
      <c r="I746" t="str">
        <f>"012"</f>
        <v>012</v>
      </c>
      <c r="J746" t="str">
        <f t="shared" si="175"/>
        <v>N</v>
      </c>
    </row>
    <row r="747" spans="1:10">
      <c r="A747" t="str">
        <f>"0737TO00"</f>
        <v>0737TO00</v>
      </c>
      <c r="B747" t="str">
        <f>"INACT"</f>
        <v>INACT</v>
      </c>
      <c r="C747" t="str">
        <f>"27"</f>
        <v>27</v>
      </c>
      <c r="D747" t="str">
        <f>"NA"</f>
        <v>NA</v>
      </c>
      <c r="E747" t="str">
        <f>"NA"</f>
        <v>NA</v>
      </c>
      <c r="F747" t="str">
        <f>"NA"</f>
        <v>NA</v>
      </c>
      <c r="G747" t="str">
        <f>"EQUIPO DE PRUEBA SIOB 1310"</f>
        <v>EQUIPO DE PRUEBA SIOB 1310</v>
      </c>
      <c r="H747" t="str">
        <f>"hramos"</f>
        <v>hramos</v>
      </c>
      <c r="I747" t="str">
        <f>"081"</f>
        <v>081</v>
      </c>
      <c r="J747" t="str">
        <f t="shared" si="175"/>
        <v>N</v>
      </c>
    </row>
    <row r="748" spans="1:10">
      <c r="A748" t="str">
        <f>"LE-010-27092"</f>
        <v>LE-010-27092</v>
      </c>
      <c r="B748" t="str">
        <f>"ACT"</f>
        <v>ACT</v>
      </c>
      <c r="C748" t="str">
        <f>"27"</f>
        <v>27</v>
      </c>
      <c r="D748" t="str">
        <f t="shared" ref="D748:D756" si="181">"N/A"</f>
        <v>N/A</v>
      </c>
      <c r="E748" t="str">
        <f>"CML-1100142"</f>
        <v>CML-1100142</v>
      </c>
      <c r="F748" t="str">
        <f>"CM-500A"</f>
        <v>CM-500A</v>
      </c>
      <c r="G748" t="str">
        <f>"ESD CONSTANT MONITOR"</f>
        <v>ESD CONSTANT MONITOR</v>
      </c>
      <c r="H748" t="str">
        <f>"avazquez"</f>
        <v>avazquez</v>
      </c>
      <c r="I748" t="str">
        <f>"058"</f>
        <v>058</v>
      </c>
      <c r="J748" t="str">
        <f t="shared" si="175"/>
        <v>N</v>
      </c>
    </row>
    <row r="749" spans="1:10">
      <c r="A749" t="str">
        <f>"LE-053-01931"</f>
        <v>LE-053-01931</v>
      </c>
      <c r="B749" t="str">
        <f>"ACT"</f>
        <v>ACT</v>
      </c>
      <c r="C749" t="str">
        <f>"24"</f>
        <v>24</v>
      </c>
      <c r="D749" t="str">
        <f t="shared" si="181"/>
        <v>N/A</v>
      </c>
      <c r="E749" t="str">
        <f>"N/A"</f>
        <v>N/A</v>
      </c>
      <c r="F749" t="str">
        <f>"N/A"</f>
        <v>N/A</v>
      </c>
      <c r="G749" t="str">
        <f>"DRY BOX # 09"</f>
        <v>DRY BOX # 09</v>
      </c>
      <c r="H749" t="str">
        <f>"alopez"</f>
        <v>alopez</v>
      </c>
      <c r="I749" t="str">
        <f>"031"</f>
        <v>031</v>
      </c>
      <c r="J749" t="str">
        <f t="shared" si="175"/>
        <v>N</v>
      </c>
    </row>
    <row r="750" spans="1:10">
      <c r="A750" t="str">
        <f>"0845IT00"</f>
        <v>0845IT00</v>
      </c>
      <c r="B750" t="str">
        <f>"ACT"</f>
        <v>ACT</v>
      </c>
      <c r="C750" t="str">
        <f>"13"</f>
        <v>13</v>
      </c>
      <c r="D750" t="str">
        <f t="shared" si="181"/>
        <v>N/A</v>
      </c>
      <c r="E750" t="str">
        <f>"33900000529"</f>
        <v>33900000529</v>
      </c>
      <c r="F750" t="str">
        <f>"3240"</f>
        <v>3240</v>
      </c>
      <c r="G750" t="str">
        <f t="shared" ref="G750:G755" si="182">"IMPRESORA DE ETIQUETAS"</f>
        <v>IMPRESORA DE ETIQUETAS</v>
      </c>
      <c r="H750" t="str">
        <f>"mcampos"</f>
        <v>mcampos</v>
      </c>
      <c r="I750" t="str">
        <f>"084"</f>
        <v>084</v>
      </c>
      <c r="J750" t="str">
        <f t="shared" si="175"/>
        <v>N</v>
      </c>
    </row>
    <row r="751" spans="1:10">
      <c r="A751" t="str">
        <f>"0485IT01"</f>
        <v>0485IT01</v>
      </c>
      <c r="B751" t="str">
        <f>"INACT"</f>
        <v>INACT</v>
      </c>
      <c r="C751" t="str">
        <f>"13"</f>
        <v>13</v>
      </c>
      <c r="D751" t="str">
        <f t="shared" si="181"/>
        <v>N/A</v>
      </c>
      <c r="E751" t="str">
        <f>"29309900053"</f>
        <v>29309900053</v>
      </c>
      <c r="F751" t="str">
        <f>"3240"</f>
        <v>3240</v>
      </c>
      <c r="G751" t="str">
        <f t="shared" si="182"/>
        <v>IMPRESORA DE ETIQUETAS</v>
      </c>
      <c r="H751" t="str">
        <f>"mcampos"</f>
        <v>mcampos</v>
      </c>
      <c r="I751" t="str">
        <f>"125"</f>
        <v>125</v>
      </c>
      <c r="J751" t="str">
        <f t="shared" si="175"/>
        <v>N</v>
      </c>
    </row>
    <row r="752" spans="1:10">
      <c r="A752" t="str">
        <f>"0845IT06"</f>
        <v>0845IT06</v>
      </c>
      <c r="B752" t="str">
        <f t="shared" ref="B752:B777" si="183">"ACT"</f>
        <v>ACT</v>
      </c>
      <c r="C752" t="str">
        <f>"04"</f>
        <v>04</v>
      </c>
      <c r="D752" t="str">
        <f t="shared" si="181"/>
        <v>N/A</v>
      </c>
      <c r="E752" t="str">
        <f>"28500000015"</f>
        <v>28500000015</v>
      </c>
      <c r="F752" t="str">
        <f>"3440"</f>
        <v>3440</v>
      </c>
      <c r="G752" t="str">
        <f t="shared" si="182"/>
        <v>IMPRESORA DE ETIQUETAS</v>
      </c>
      <c r="H752" t="str">
        <f>"jhernandez"</f>
        <v>jhernandez</v>
      </c>
      <c r="I752" t="str">
        <f>"125"</f>
        <v>125</v>
      </c>
      <c r="J752" t="str">
        <f t="shared" si="175"/>
        <v>N</v>
      </c>
    </row>
    <row r="753" spans="1:10">
      <c r="A753" t="str">
        <f>"0845IT13"</f>
        <v>0845IT13</v>
      </c>
      <c r="B753" t="str">
        <f t="shared" si="183"/>
        <v>ACT</v>
      </c>
      <c r="C753" t="str">
        <f>"27"</f>
        <v>27</v>
      </c>
      <c r="D753" t="str">
        <f t="shared" si="181"/>
        <v>N/A</v>
      </c>
      <c r="E753" t="str">
        <f>"98121800106"</f>
        <v>98121800106</v>
      </c>
      <c r="F753" t="str">
        <f>"3440"</f>
        <v>3440</v>
      </c>
      <c r="G753" t="str">
        <f t="shared" si="182"/>
        <v>IMPRESORA DE ETIQUETAS</v>
      </c>
      <c r="H753" t="str">
        <f>"sarteaga"</f>
        <v>sarteaga</v>
      </c>
      <c r="I753" t="str">
        <f>"125"</f>
        <v>125</v>
      </c>
      <c r="J753" t="str">
        <f t="shared" si="175"/>
        <v>N</v>
      </c>
    </row>
    <row r="754" spans="1:10">
      <c r="A754" t="str">
        <f>"0845IT14"</f>
        <v>0845IT14</v>
      </c>
      <c r="B754" t="str">
        <f t="shared" si="183"/>
        <v>ACT</v>
      </c>
      <c r="C754" t="str">
        <f>"27"</f>
        <v>27</v>
      </c>
      <c r="D754" t="str">
        <f t="shared" si="181"/>
        <v>N/A</v>
      </c>
      <c r="E754" t="str">
        <f>"25700000433"</f>
        <v>25700000433</v>
      </c>
      <c r="F754" t="str">
        <f>"3240"</f>
        <v>3240</v>
      </c>
      <c r="G754" t="str">
        <f t="shared" si="182"/>
        <v>IMPRESORA DE ETIQUETAS</v>
      </c>
      <c r="H754" t="str">
        <f>"sarteaga"</f>
        <v>sarteaga</v>
      </c>
      <c r="I754" t="str">
        <f>"125"</f>
        <v>125</v>
      </c>
      <c r="J754" t="str">
        <f t="shared" si="175"/>
        <v>N</v>
      </c>
    </row>
    <row r="755" spans="1:10">
      <c r="A755" t="str">
        <f>"0845IT15"</f>
        <v>0845IT15</v>
      </c>
      <c r="B755" t="str">
        <f t="shared" si="183"/>
        <v>ACT</v>
      </c>
      <c r="C755" t="str">
        <f>"27"</f>
        <v>27</v>
      </c>
      <c r="D755" t="str">
        <f t="shared" si="181"/>
        <v>N/A</v>
      </c>
      <c r="E755" t="str">
        <f>"34800000369"</f>
        <v>34800000369</v>
      </c>
      <c r="F755" t="str">
        <f>"3240"</f>
        <v>3240</v>
      </c>
      <c r="G755" t="str">
        <f t="shared" si="182"/>
        <v>IMPRESORA DE ETIQUETAS</v>
      </c>
      <c r="H755" t="str">
        <f>"sarteaga"</f>
        <v>sarteaga</v>
      </c>
      <c r="I755" t="str">
        <f>"125"</f>
        <v>125</v>
      </c>
      <c r="J755" t="str">
        <f t="shared" si="175"/>
        <v>N</v>
      </c>
    </row>
    <row r="756" spans="1:10">
      <c r="A756" t="str">
        <f>"0920EN00"</f>
        <v>0920EN00</v>
      </c>
      <c r="B756" t="str">
        <f t="shared" si="183"/>
        <v>ACT</v>
      </c>
      <c r="C756" t="str">
        <f>"09"</f>
        <v>09</v>
      </c>
      <c r="D756" t="str">
        <f t="shared" si="181"/>
        <v>N/A</v>
      </c>
      <c r="E756" t="str">
        <f>"N/A"</f>
        <v>N/A</v>
      </c>
      <c r="F756" t="str">
        <f>"N/A"</f>
        <v>N/A</v>
      </c>
      <c r="G756" t="str">
        <f>"REQUERIMIENTOS DEL EQUIPO  MLI    BERT#7"</f>
        <v>REQUERIMIENTOS DEL EQUIPO  MLI    BERT#7</v>
      </c>
      <c r="H756" t="str">
        <f>"jcastaneda"</f>
        <v>jcastaneda</v>
      </c>
      <c r="I756" t="str">
        <f>"081"</f>
        <v>081</v>
      </c>
      <c r="J756" t="str">
        <f t="shared" si="175"/>
        <v>N</v>
      </c>
    </row>
    <row r="757" spans="1:10">
      <c r="A757" t="str">
        <f>"LE-041-00798"</f>
        <v>LE-041-00798</v>
      </c>
      <c r="B757" t="str">
        <f t="shared" si="183"/>
        <v>ACT</v>
      </c>
      <c r="C757" t="str">
        <f>"30"</f>
        <v>30</v>
      </c>
      <c r="D757" t="str">
        <f>"TQP01378"</f>
        <v>TQP01378</v>
      </c>
      <c r="E757" t="str">
        <f>"30942"</f>
        <v>30942</v>
      </c>
      <c r="F757" t="str">
        <f>"S - 8C"</f>
        <v>S - 8C</v>
      </c>
      <c r="G757" t="str">
        <f>"OVEN"</f>
        <v>OVEN</v>
      </c>
      <c r="H757" t="str">
        <f>"ageronimo"</f>
        <v>ageronimo</v>
      </c>
      <c r="I757" t="str">
        <f>"069"</f>
        <v>069</v>
      </c>
      <c r="J757" t="str">
        <f t="shared" si="175"/>
        <v>N</v>
      </c>
    </row>
    <row r="758" spans="1:10">
      <c r="A758" t="str">
        <f>"LE-041-00799"</f>
        <v>LE-041-00799</v>
      </c>
      <c r="B758" t="str">
        <f t="shared" si="183"/>
        <v>ACT</v>
      </c>
      <c r="C758" t="str">
        <f>"06"</f>
        <v>06</v>
      </c>
      <c r="D758" t="str">
        <f>"TQP01377"</f>
        <v>TQP01377</v>
      </c>
      <c r="E758" t="str">
        <f>"30943"</f>
        <v>30943</v>
      </c>
      <c r="F758" t="str">
        <f>"S - 8C"</f>
        <v>S - 8C</v>
      </c>
      <c r="G758" t="str">
        <f>"OVEN"</f>
        <v>OVEN</v>
      </c>
      <c r="H758" t="str">
        <f>"cgallegos"</f>
        <v>cgallegos</v>
      </c>
      <c r="I758" t="str">
        <f>"069"</f>
        <v>069</v>
      </c>
      <c r="J758" t="str">
        <f t="shared" si="175"/>
        <v>N</v>
      </c>
    </row>
    <row r="759" spans="1:10">
      <c r="A759" t="str">
        <f>"0434LD12"</f>
        <v>0434LD12</v>
      </c>
      <c r="B759" t="str">
        <f t="shared" si="183"/>
        <v>ACT</v>
      </c>
      <c r="C759" t="str">
        <f>"04"</f>
        <v>04</v>
      </c>
      <c r="D759" t="str">
        <f>"TQP09106"</f>
        <v>TQP09106</v>
      </c>
      <c r="E759" t="str">
        <f>"30545"</f>
        <v>30545</v>
      </c>
      <c r="F759" t="str">
        <f>"S-8C"</f>
        <v>S-8C</v>
      </c>
      <c r="G759" t="str">
        <f>"OVEN"</f>
        <v>OVEN</v>
      </c>
      <c r="H759" t="str">
        <f>"cgallegos"</f>
        <v>cgallegos</v>
      </c>
      <c r="I759" t="str">
        <f>"069"</f>
        <v>069</v>
      </c>
      <c r="J759" t="str">
        <f t="shared" si="175"/>
        <v>N</v>
      </c>
    </row>
    <row r="760" spans="1:10">
      <c r="A760" t="str">
        <f>"LE-008-02309"</f>
        <v>LE-008-02309</v>
      </c>
      <c r="B760" t="str">
        <f t="shared" si="183"/>
        <v>ACT</v>
      </c>
      <c r="C760" t="str">
        <f>"13"</f>
        <v>13</v>
      </c>
      <c r="D760" t="str">
        <f>"N/A"</f>
        <v>N/A</v>
      </c>
      <c r="E760" t="str">
        <f>"OV3-22358"</f>
        <v>OV3-22358</v>
      </c>
      <c r="F760" t="str">
        <f>"OV-472A-2"</f>
        <v>OV-472A-2</v>
      </c>
      <c r="G760" t="str">
        <f>"OVEN"</f>
        <v>OVEN</v>
      </c>
      <c r="H760" t="str">
        <f>"jmarmolejo"</f>
        <v>jmarmolejo</v>
      </c>
      <c r="I760" t="str">
        <f>"012"</f>
        <v>012</v>
      </c>
      <c r="J760" t="str">
        <f t="shared" si="175"/>
        <v>N</v>
      </c>
    </row>
    <row r="761" spans="1:10">
      <c r="A761" t="str">
        <f>"0751TO05"</f>
        <v>0751TO05</v>
      </c>
      <c r="B761" t="str">
        <f t="shared" si="183"/>
        <v>ACT</v>
      </c>
      <c r="C761" t="str">
        <f>"27"</f>
        <v>27</v>
      </c>
      <c r="D761" t="str">
        <f>"CYP2140"</f>
        <v>CYP2140</v>
      </c>
      <c r="E761" t="str">
        <f>"A8100015"</f>
        <v>A8100015</v>
      </c>
      <c r="F761" t="str">
        <f>"DX600"</f>
        <v>DX600</v>
      </c>
      <c r="G761" t="str">
        <f>"DRY OVEN"</f>
        <v>DRY OVEN</v>
      </c>
      <c r="H761" t="str">
        <f>"cgallegos"</f>
        <v>cgallegos</v>
      </c>
      <c r="I761" t="str">
        <f>"003"</f>
        <v>003</v>
      </c>
      <c r="J761" t="str">
        <f t="shared" si="175"/>
        <v>N</v>
      </c>
    </row>
    <row r="762" spans="1:10">
      <c r="A762" t="str">
        <f>"0751TO06"</f>
        <v>0751TO06</v>
      </c>
      <c r="B762" t="str">
        <f t="shared" si="183"/>
        <v>ACT</v>
      </c>
      <c r="C762" t="str">
        <f>"27"</f>
        <v>27</v>
      </c>
      <c r="D762" t="str">
        <f>"CYP1193"</f>
        <v>CYP1193</v>
      </c>
      <c r="E762" t="str">
        <f>"T05F-303363-TF"</f>
        <v>T05F-303363-TF</v>
      </c>
      <c r="F762" t="str">
        <f>"M01420PA"</f>
        <v>M01420PA</v>
      </c>
      <c r="G762" t="str">
        <f>"OVEN"</f>
        <v>OVEN</v>
      </c>
      <c r="H762" t="str">
        <f>"cgallegos"</f>
        <v>cgallegos</v>
      </c>
      <c r="I762" t="str">
        <f>"012"</f>
        <v>012</v>
      </c>
      <c r="J762" t="str">
        <f t="shared" si="175"/>
        <v>N</v>
      </c>
    </row>
    <row r="763" spans="1:10">
      <c r="A763" t="str">
        <f>"0914PG17"</f>
        <v>0914PG17</v>
      </c>
      <c r="B763" t="str">
        <f t="shared" si="183"/>
        <v>ACT</v>
      </c>
      <c r="C763" t="str">
        <f>"30"</f>
        <v>30</v>
      </c>
      <c r="D763" t="str">
        <f t="shared" ref="D763:D785" si="184">"N/A"</f>
        <v>N/A</v>
      </c>
      <c r="E763" t="str">
        <f>"X04K-500003-XK"</f>
        <v>X04K-500003-XK</v>
      </c>
      <c r="F763" t="str">
        <f>"M01430A-1"</f>
        <v>M01430A-1</v>
      </c>
      <c r="G763" t="str">
        <f>"THERMAL SHOCK CHAMBER"</f>
        <v>THERMAL SHOCK CHAMBER</v>
      </c>
      <c r="H763" t="str">
        <f>"ageronimo"</f>
        <v>ageronimo</v>
      </c>
      <c r="I763" t="str">
        <f>"012"</f>
        <v>012</v>
      </c>
      <c r="J763" t="str">
        <f t="shared" si="175"/>
        <v>N</v>
      </c>
    </row>
    <row r="764" spans="1:10">
      <c r="A764" t="str">
        <f>"LE-010-27003"</f>
        <v>LE-010-27003</v>
      </c>
      <c r="B764" t="str">
        <f t="shared" si="183"/>
        <v>ACT</v>
      </c>
      <c r="C764" t="str">
        <f>"04"</f>
        <v>04</v>
      </c>
      <c r="D764" t="str">
        <f t="shared" si="184"/>
        <v>N/A</v>
      </c>
      <c r="E764" t="str">
        <f>"CML-1100063"</f>
        <v>CML-1100063</v>
      </c>
      <c r="F764" t="str">
        <f>"CM-500A"</f>
        <v>CM-500A</v>
      </c>
      <c r="G764" t="str">
        <f>"ESD CONSTANT MONITOR"</f>
        <v>ESD CONSTANT MONITOR</v>
      </c>
      <c r="H764" t="str">
        <f>"mvazquez"</f>
        <v>mvazquez</v>
      </c>
      <c r="I764" t="str">
        <f>"058"</f>
        <v>058</v>
      </c>
      <c r="J764" t="str">
        <f t="shared" si="175"/>
        <v>N</v>
      </c>
    </row>
    <row r="765" spans="1:10">
      <c r="A765" t="str">
        <f>"LE-003-00810"</f>
        <v>LE-003-00810</v>
      </c>
      <c r="B765" t="str">
        <f t="shared" si="183"/>
        <v>ACT</v>
      </c>
      <c r="C765" t="str">
        <f>"31"</f>
        <v>31</v>
      </c>
      <c r="D765" t="str">
        <f t="shared" si="184"/>
        <v>N/A</v>
      </c>
      <c r="E765" t="str">
        <f>"HJ3100-01101"</f>
        <v>HJ3100-01101</v>
      </c>
      <c r="F765" t="str">
        <f>"HJ3100"</f>
        <v>HJ3100</v>
      </c>
      <c r="G765" t="str">
        <f>"FUME EXTRACTION"</f>
        <v>FUME EXTRACTION</v>
      </c>
      <c r="H765" t="str">
        <f>"jhernandez"</f>
        <v>jhernandez</v>
      </c>
      <c r="I765" t="str">
        <f>"034"</f>
        <v>034</v>
      </c>
      <c r="J765" t="str">
        <f t="shared" si="175"/>
        <v>N</v>
      </c>
    </row>
    <row r="766" spans="1:10">
      <c r="A766" t="str">
        <f>"0752OS02"</f>
        <v>0752OS02</v>
      </c>
      <c r="B766" t="str">
        <f t="shared" si="183"/>
        <v>ACT</v>
      </c>
      <c r="C766" t="str">
        <f>"13"</f>
        <v>13</v>
      </c>
      <c r="D766" t="str">
        <f t="shared" si="184"/>
        <v>N/A</v>
      </c>
      <c r="E766" t="str">
        <f>"N/A"</f>
        <v>N/A</v>
      </c>
      <c r="F766" t="str">
        <f>"N/A"</f>
        <v>N/A</v>
      </c>
      <c r="G766" t="str">
        <f>"SISTEMA DE  PRUEBA  OSA LIV (CYTEST 5)"</f>
        <v>SISTEMA DE  PRUEBA  OSA LIV (CYTEST 5)</v>
      </c>
      <c r="H766" t="str">
        <f>"jmarmolejo"</f>
        <v>jmarmolejo</v>
      </c>
      <c r="I766" t="str">
        <f>"081"</f>
        <v>081</v>
      </c>
      <c r="J766" t="str">
        <f t="shared" si="175"/>
        <v>N</v>
      </c>
    </row>
    <row r="767" spans="1:10">
      <c r="A767" t="str">
        <f>"0752OS01"</f>
        <v>0752OS01</v>
      </c>
      <c r="B767" t="str">
        <f t="shared" si="183"/>
        <v>ACT</v>
      </c>
      <c r="C767" t="str">
        <f>"13"</f>
        <v>13</v>
      </c>
      <c r="D767" t="str">
        <f t="shared" si="184"/>
        <v>N/A</v>
      </c>
      <c r="E767" t="str">
        <f>"N/A"</f>
        <v>N/A</v>
      </c>
      <c r="F767" t="str">
        <f>"N/A"</f>
        <v>N/A</v>
      </c>
      <c r="G767" t="str">
        <f>"SISTEMAS DE PRUEBA OSA FUCTIONAL"</f>
        <v>SISTEMAS DE PRUEBA OSA FUCTIONAL</v>
      </c>
      <c r="H767" t="str">
        <f>"jmarmolejo"</f>
        <v>jmarmolejo</v>
      </c>
      <c r="I767" t="str">
        <f>"081"</f>
        <v>081</v>
      </c>
      <c r="J767" t="str">
        <f t="shared" si="175"/>
        <v>N</v>
      </c>
    </row>
    <row r="768" spans="1:10">
      <c r="A768" t="str">
        <f>"LE-010-26999"</f>
        <v>LE-010-26999</v>
      </c>
      <c r="B768" t="str">
        <f t="shared" si="183"/>
        <v>ACT</v>
      </c>
      <c r="C768" t="str">
        <f>"31"</f>
        <v>31</v>
      </c>
      <c r="D768" t="str">
        <f t="shared" si="184"/>
        <v>N/A</v>
      </c>
      <c r="E768" t="str">
        <f>"CML-1100273"</f>
        <v>CML-1100273</v>
      </c>
      <c r="F768" t="str">
        <f>"CM-500"</f>
        <v>CM-500</v>
      </c>
      <c r="G768" t="str">
        <f>"ESD CONSTANT MONITOR"</f>
        <v>ESD CONSTANT MONITOR</v>
      </c>
      <c r="H768" t="str">
        <f>"jhernandez"</f>
        <v>jhernandez</v>
      </c>
      <c r="I768" t="str">
        <f>"058"</f>
        <v>058</v>
      </c>
      <c r="J768" t="str">
        <f t="shared" si="175"/>
        <v>N</v>
      </c>
    </row>
    <row r="769" spans="1:10">
      <c r="A769" t="str">
        <f>"LE-010-24063"</f>
        <v>LE-010-24063</v>
      </c>
      <c r="B769" t="str">
        <f t="shared" si="183"/>
        <v>ACT</v>
      </c>
      <c r="C769" t="str">
        <f>"06"</f>
        <v>06</v>
      </c>
      <c r="D769" t="str">
        <f t="shared" si="184"/>
        <v>N/A</v>
      </c>
      <c r="E769" t="str">
        <f>"V237528"</f>
        <v>V237528</v>
      </c>
      <c r="F769" t="str">
        <f>"AEROSTAT"</f>
        <v>AEROSTAT</v>
      </c>
      <c r="G769" t="str">
        <f>"ESD IONIZER"</f>
        <v>ESD IONIZER</v>
      </c>
      <c r="H769" t="str">
        <f>"ecerda"</f>
        <v>ecerda</v>
      </c>
      <c r="I769" t="str">
        <f>"118"</f>
        <v>118</v>
      </c>
      <c r="J769" t="str">
        <f t="shared" si="175"/>
        <v>N</v>
      </c>
    </row>
    <row r="770" spans="1:10">
      <c r="A770" t="str">
        <f>"1036OS00"</f>
        <v>1036OS00</v>
      </c>
      <c r="B770" t="str">
        <f t="shared" si="183"/>
        <v>ACT</v>
      </c>
      <c r="C770" t="str">
        <f>"13"</f>
        <v>13</v>
      </c>
      <c r="D770" t="str">
        <f t="shared" si="184"/>
        <v>N/A</v>
      </c>
      <c r="E770" t="str">
        <f>"AB18012"</f>
        <v>AB18012</v>
      </c>
      <c r="F770" t="str">
        <f>"N/A"</f>
        <v>N/A</v>
      </c>
      <c r="G770" t="str">
        <f>"CYBONDER # 31"</f>
        <v>CYBONDER # 31</v>
      </c>
      <c r="H770" t="str">
        <f>"lecortez"</f>
        <v>lecortez</v>
      </c>
      <c r="I770" t="str">
        <f>"023"</f>
        <v>023</v>
      </c>
      <c r="J770" t="str">
        <f t="shared" si="175"/>
        <v>N</v>
      </c>
    </row>
    <row r="771" spans="1:10">
      <c r="A771" t="str">
        <f>"1039OS00"</f>
        <v>1039OS00</v>
      </c>
      <c r="B771" t="str">
        <f t="shared" si="183"/>
        <v>ACT</v>
      </c>
      <c r="C771" t="str">
        <f>"13"</f>
        <v>13</v>
      </c>
      <c r="D771" t="str">
        <f t="shared" si="184"/>
        <v>N/A</v>
      </c>
      <c r="E771" t="str">
        <f>"CML-1100286"</f>
        <v>CML-1100286</v>
      </c>
      <c r="F771" t="str">
        <f>"CM-500A"</f>
        <v>CM-500A</v>
      </c>
      <c r="G771" t="str">
        <f>"ESD CONSTANT MONITOR"</f>
        <v>ESD CONSTANT MONITOR</v>
      </c>
      <c r="H771" t="str">
        <f>"hcharles"</f>
        <v>hcharles</v>
      </c>
      <c r="I771" t="str">
        <f>"058"</f>
        <v>058</v>
      </c>
      <c r="J771" t="str">
        <f t="shared" si="175"/>
        <v>N</v>
      </c>
    </row>
    <row r="772" spans="1:10">
      <c r="A772" t="str">
        <f>"1019EN00"</f>
        <v>1019EN00</v>
      </c>
      <c r="B772" t="str">
        <f t="shared" si="183"/>
        <v>ACT</v>
      </c>
      <c r="C772" t="str">
        <f>"37"</f>
        <v>37</v>
      </c>
      <c r="D772" t="str">
        <f t="shared" si="184"/>
        <v>N/A</v>
      </c>
      <c r="E772" t="str">
        <f t="shared" ref="E772:F774" si="185">"N/A"</f>
        <v>N/A</v>
      </c>
      <c r="F772" t="str">
        <f t="shared" si="185"/>
        <v>N/A</v>
      </c>
      <c r="G772" t="str">
        <f>"TEST SET RACK BER #08"</f>
        <v>TEST SET RACK BER #08</v>
      </c>
      <c r="H772" t="str">
        <f>"jgallo"</f>
        <v>jgallo</v>
      </c>
      <c r="I772" t="str">
        <f>"081"</f>
        <v>081</v>
      </c>
      <c r="J772" t="str">
        <f t="shared" si="175"/>
        <v>N</v>
      </c>
    </row>
    <row r="773" spans="1:10">
      <c r="A773" t="str">
        <f>"1042EN00"</f>
        <v>1042EN00</v>
      </c>
      <c r="B773" t="str">
        <f t="shared" si="183"/>
        <v>ACT</v>
      </c>
      <c r="C773" t="str">
        <f>"09"</f>
        <v>09</v>
      </c>
      <c r="D773" t="str">
        <f t="shared" si="184"/>
        <v>N/A</v>
      </c>
      <c r="E773" t="str">
        <f t="shared" si="185"/>
        <v>N/A</v>
      </c>
      <c r="F773" t="str">
        <f t="shared" si="185"/>
        <v>N/A</v>
      </c>
      <c r="G773" t="str">
        <f>"TEST SET SCREENING # 01"</f>
        <v>TEST SET SCREENING # 01</v>
      </c>
      <c r="H773" t="str">
        <f>"jgallo"</f>
        <v>jgallo</v>
      </c>
      <c r="I773" t="str">
        <f>"081"</f>
        <v>081</v>
      </c>
      <c r="J773" t="str">
        <f t="shared" si="175"/>
        <v>N</v>
      </c>
    </row>
    <row r="774" spans="1:10">
      <c r="A774" t="str">
        <f>"1042EN01"</f>
        <v>1042EN01</v>
      </c>
      <c r="B774" t="str">
        <f t="shared" si="183"/>
        <v>ACT</v>
      </c>
      <c r="C774" t="str">
        <f>"09"</f>
        <v>09</v>
      </c>
      <c r="D774" t="str">
        <f t="shared" si="184"/>
        <v>N/A</v>
      </c>
      <c r="E774" t="str">
        <f t="shared" si="185"/>
        <v>N/A</v>
      </c>
      <c r="F774" t="str">
        <f t="shared" si="185"/>
        <v>N/A</v>
      </c>
      <c r="G774" t="str">
        <f>"TEST SET SCREENING # 02"</f>
        <v>TEST SET SCREENING # 02</v>
      </c>
      <c r="H774" t="str">
        <f>"jgallo"</f>
        <v>jgallo</v>
      </c>
      <c r="I774" t="str">
        <f>"081"</f>
        <v>081</v>
      </c>
      <c r="J774" t="str">
        <f t="shared" si="175"/>
        <v>N</v>
      </c>
    </row>
    <row r="775" spans="1:10">
      <c r="A775" t="str">
        <f>"LE-010-28615"</f>
        <v>LE-010-28615</v>
      </c>
      <c r="B775" t="str">
        <f t="shared" si="183"/>
        <v>ACT</v>
      </c>
      <c r="C775" t="str">
        <f>"09"</f>
        <v>09</v>
      </c>
      <c r="D775" t="str">
        <f t="shared" si="184"/>
        <v>N/A</v>
      </c>
      <c r="E775" t="str">
        <f>"601534T"</f>
        <v>601534T</v>
      </c>
      <c r="F775" t="str">
        <f>"1000XL"</f>
        <v>1000XL</v>
      </c>
      <c r="G775" t="str">
        <f>"EPOXYDISPENSER"</f>
        <v>EPOXYDISPENSER</v>
      </c>
      <c r="H775" t="str">
        <f>"ahernandez"</f>
        <v>ahernandez</v>
      </c>
      <c r="I775" t="str">
        <f>"024"</f>
        <v>024</v>
      </c>
      <c r="J775" t="str">
        <f t="shared" ref="J775:J838" si="186">"N"</f>
        <v>N</v>
      </c>
    </row>
    <row r="776" spans="1:10">
      <c r="A776" t="str">
        <f>"LE-010-26576"</f>
        <v>LE-010-26576</v>
      </c>
      <c r="B776" t="str">
        <f t="shared" si="183"/>
        <v>ACT</v>
      </c>
      <c r="C776" t="str">
        <f>"09"</f>
        <v>09</v>
      </c>
      <c r="D776" t="str">
        <f t="shared" si="184"/>
        <v>N/A</v>
      </c>
      <c r="E776" t="str">
        <f>"CML-1100013"</f>
        <v>CML-1100013</v>
      </c>
      <c r="F776" t="str">
        <f>"CM-500"</f>
        <v>CM-500</v>
      </c>
      <c r="G776" t="str">
        <f>"ESD CONSTANT MONITOR"</f>
        <v>ESD CONSTANT MONITOR</v>
      </c>
      <c r="H776" t="str">
        <f>"hcharles"</f>
        <v>hcharles</v>
      </c>
      <c r="I776" t="str">
        <f>"058"</f>
        <v>058</v>
      </c>
      <c r="J776" t="str">
        <f t="shared" si="186"/>
        <v>N</v>
      </c>
    </row>
    <row r="777" spans="1:10">
      <c r="A777" t="str">
        <f>"LE-003-00787"</f>
        <v>LE-003-00787</v>
      </c>
      <c r="B777" t="str">
        <f t="shared" si="183"/>
        <v>ACT</v>
      </c>
      <c r="C777" t="str">
        <f>"30"</f>
        <v>30</v>
      </c>
      <c r="D777" t="str">
        <f t="shared" si="184"/>
        <v>N/A</v>
      </c>
      <c r="E777" t="str">
        <f>"HJ3100-01105"</f>
        <v>HJ3100-01105</v>
      </c>
      <c r="F777" t="str">
        <f>"HJ3100"</f>
        <v>HJ3100</v>
      </c>
      <c r="G777" t="str">
        <f>"FUME EXTRACTION"</f>
        <v>FUME EXTRACTION</v>
      </c>
      <c r="H777" t="str">
        <f>"ageronimo"</f>
        <v>ageronimo</v>
      </c>
      <c r="I777" t="str">
        <f>"034"</f>
        <v>034</v>
      </c>
      <c r="J777" t="str">
        <f t="shared" si="186"/>
        <v>N</v>
      </c>
    </row>
    <row r="778" spans="1:10">
      <c r="A778" t="str">
        <f>"LE-010-28335"</f>
        <v>LE-010-28335</v>
      </c>
      <c r="B778" t="str">
        <f>"INACT"</f>
        <v>INACT</v>
      </c>
      <c r="C778" t="str">
        <f>"12"</f>
        <v>12</v>
      </c>
      <c r="D778" t="str">
        <f t="shared" si="184"/>
        <v>N/A</v>
      </c>
      <c r="E778" t="str">
        <f>"664121T"</f>
        <v>664121T</v>
      </c>
      <c r="F778" t="str">
        <f>"1000XL"</f>
        <v>1000XL</v>
      </c>
      <c r="G778" t="str">
        <f>"EPOXY DISPENSER"</f>
        <v>EPOXY DISPENSER</v>
      </c>
      <c r="H778" t="str">
        <f>"ageronimo"</f>
        <v>ageronimo</v>
      </c>
      <c r="I778" t="str">
        <f>"024"</f>
        <v>024</v>
      </c>
      <c r="J778" t="str">
        <f t="shared" si="186"/>
        <v>N</v>
      </c>
    </row>
    <row r="779" spans="1:10">
      <c r="A779" t="str">
        <f>"LE-052-218"</f>
        <v>LE-052-218</v>
      </c>
      <c r="B779" t="str">
        <f>"ACT"</f>
        <v>ACT</v>
      </c>
      <c r="C779" t="str">
        <f>"33"</f>
        <v>33</v>
      </c>
      <c r="D779" t="str">
        <f t="shared" si="184"/>
        <v>N/A</v>
      </c>
      <c r="E779" t="str">
        <f>"574162T"</f>
        <v>574162T</v>
      </c>
      <c r="F779" t="str">
        <f>"1000XL"</f>
        <v>1000XL</v>
      </c>
      <c r="G779" t="str">
        <f>"EPOXY DISPENSER"</f>
        <v>EPOXY DISPENSER</v>
      </c>
      <c r="H779" t="str">
        <f>"ageronimo"</f>
        <v>ageronimo</v>
      </c>
      <c r="I779" t="str">
        <f>"024"</f>
        <v>024</v>
      </c>
      <c r="J779" t="str">
        <f t="shared" si="186"/>
        <v>N</v>
      </c>
    </row>
    <row r="780" spans="1:10">
      <c r="A780" t="str">
        <f>"1052QP00"</f>
        <v>1052QP00</v>
      </c>
      <c r="B780" t="str">
        <f>"ACT"</f>
        <v>ACT</v>
      </c>
      <c r="C780" t="str">
        <f>"33"</f>
        <v>33</v>
      </c>
      <c r="D780" t="str">
        <f t="shared" si="184"/>
        <v>N/A</v>
      </c>
      <c r="E780" t="str">
        <f>"644853T"</f>
        <v>644853T</v>
      </c>
      <c r="F780" t="str">
        <f>"1000XL"</f>
        <v>1000XL</v>
      </c>
      <c r="G780" t="str">
        <f>"EPOXY DISPENSER"</f>
        <v>EPOXY DISPENSER</v>
      </c>
      <c r="H780" t="str">
        <f>"ageronimo"</f>
        <v>ageronimo</v>
      </c>
      <c r="I780" t="str">
        <f>"024"</f>
        <v>024</v>
      </c>
      <c r="J780" t="str">
        <f t="shared" si="186"/>
        <v>N</v>
      </c>
    </row>
    <row r="781" spans="1:10">
      <c r="A781" t="str">
        <f>"LE-010-23956"</f>
        <v>LE-010-23956</v>
      </c>
      <c r="B781" t="str">
        <f>"ACT"</f>
        <v>ACT</v>
      </c>
      <c r="C781" t="str">
        <f>"33"</f>
        <v>33</v>
      </c>
      <c r="D781" t="str">
        <f t="shared" si="184"/>
        <v>N/A</v>
      </c>
      <c r="E781" t="str">
        <f>"639615T"</f>
        <v>639615T</v>
      </c>
      <c r="F781" t="str">
        <f>"1000XL"</f>
        <v>1000XL</v>
      </c>
      <c r="G781" t="str">
        <f>"EPOXY DISPENSER"</f>
        <v>EPOXY DISPENSER</v>
      </c>
      <c r="H781" t="str">
        <f>"ageronimo"</f>
        <v>ageronimo</v>
      </c>
      <c r="I781" t="str">
        <f>"024"</f>
        <v>024</v>
      </c>
      <c r="J781" t="str">
        <f t="shared" si="186"/>
        <v>N</v>
      </c>
    </row>
    <row r="782" spans="1:10">
      <c r="A782" t="str">
        <f>"LE-010-24069"</f>
        <v>LE-010-24069</v>
      </c>
      <c r="B782" t="str">
        <f>"INACT"</f>
        <v>INACT</v>
      </c>
      <c r="C782" t="str">
        <f>"30"</f>
        <v>30</v>
      </c>
      <c r="D782" t="str">
        <f t="shared" si="184"/>
        <v>N/A</v>
      </c>
      <c r="E782" t="str">
        <f>"981240033671583"</f>
        <v>981240033671583</v>
      </c>
      <c r="F782" t="str">
        <f>"AEROSTAT"</f>
        <v>AEROSTAT</v>
      </c>
      <c r="G782" t="str">
        <f>"ESD IONIZER   (EMPAQUE)"</f>
        <v>ESD IONIZER   (EMPAQUE)</v>
      </c>
      <c r="H782" t="str">
        <f>"hcharles"</f>
        <v>hcharles</v>
      </c>
      <c r="I782" t="str">
        <f>"119"</f>
        <v>119</v>
      </c>
      <c r="J782" t="str">
        <f t="shared" si="186"/>
        <v>N</v>
      </c>
    </row>
    <row r="783" spans="1:10">
      <c r="A783" t="str">
        <f>"Q-217-01871"</f>
        <v>Q-217-01871</v>
      </c>
      <c r="B783" t="str">
        <f>"ACT"</f>
        <v>ACT</v>
      </c>
      <c r="C783" t="str">
        <f>"17"</f>
        <v>17</v>
      </c>
      <c r="D783" t="str">
        <f t="shared" si="184"/>
        <v>N/A</v>
      </c>
      <c r="E783" t="str">
        <f>"004940026127434"</f>
        <v>004940026127434</v>
      </c>
      <c r="F783" t="str">
        <f>"400612"</f>
        <v>400612</v>
      </c>
      <c r="G783" t="str">
        <f>"ESD IONIZER"</f>
        <v>ESD IONIZER</v>
      </c>
      <c r="H783" t="str">
        <f>"hcharles"</f>
        <v>hcharles</v>
      </c>
      <c r="I783" t="str">
        <f>"058"</f>
        <v>058</v>
      </c>
      <c r="J783" t="str">
        <f t="shared" si="186"/>
        <v>N</v>
      </c>
    </row>
    <row r="784" spans="1:10">
      <c r="A784" t="str">
        <f>"Q-217-01836"</f>
        <v>Q-217-01836</v>
      </c>
      <c r="B784" t="str">
        <f>"ACT"</f>
        <v>ACT</v>
      </c>
      <c r="C784" t="str">
        <f>"17"</f>
        <v>17</v>
      </c>
      <c r="D784" t="str">
        <f t="shared" si="184"/>
        <v>N/A</v>
      </c>
      <c r="E784" t="str">
        <f>"011040026128117"</f>
        <v>011040026128117</v>
      </c>
      <c r="F784" t="str">
        <f>"400612"</f>
        <v>400612</v>
      </c>
      <c r="G784" t="str">
        <f>"ESD IONIZER"</f>
        <v>ESD IONIZER</v>
      </c>
      <c r="H784" t="str">
        <f>"hcharles"</f>
        <v>hcharles</v>
      </c>
      <c r="I784" t="str">
        <f>"058"</f>
        <v>058</v>
      </c>
      <c r="J784" t="str">
        <f t="shared" si="186"/>
        <v>N</v>
      </c>
    </row>
    <row r="785" spans="1:10">
      <c r="A785" t="str">
        <f>"LE-003-00809"</f>
        <v>LE-003-00809</v>
      </c>
      <c r="B785" t="str">
        <f>"INACT"</f>
        <v>INACT</v>
      </c>
      <c r="C785" t="str">
        <f>"09"</f>
        <v>09</v>
      </c>
      <c r="D785" t="str">
        <f t="shared" si="184"/>
        <v>N/A</v>
      </c>
      <c r="E785" t="str">
        <f>"HJ3100-01052"</f>
        <v>HJ3100-01052</v>
      </c>
      <c r="F785" t="str">
        <f>"HJ3100"</f>
        <v>HJ3100</v>
      </c>
      <c r="G785" t="str">
        <f>"FUME EXTRACTION (HEADER ASSY 164X)"</f>
        <v>FUME EXTRACTION (HEADER ASSY 164X)</v>
      </c>
      <c r="H785" t="str">
        <f>"ecerda"</f>
        <v>ecerda</v>
      </c>
      <c r="I785" t="str">
        <f>"034"</f>
        <v>034</v>
      </c>
      <c r="J785" t="str">
        <f t="shared" si="186"/>
        <v>N</v>
      </c>
    </row>
    <row r="786" spans="1:10">
      <c r="A786" t="str">
        <f>"1046OS00"</f>
        <v>1046OS00</v>
      </c>
      <c r="B786" t="str">
        <f t="shared" ref="B786:B799" si="187">"ACT"</f>
        <v>ACT</v>
      </c>
      <c r="C786" t="str">
        <f>"13"</f>
        <v>13</v>
      </c>
      <c r="D786" t="str">
        <f>"TQP20957"</f>
        <v>TQP20957</v>
      </c>
      <c r="E786" t="str">
        <f>"AB17337"</f>
        <v>AB17337</v>
      </c>
      <c r="F786" t="str">
        <f>"DMM2150"</f>
        <v>DMM2150</v>
      </c>
      <c r="G786" t="str">
        <f>"CYBONDER #29"</f>
        <v>CYBONDER #29</v>
      </c>
      <c r="H786" t="str">
        <f>"lecortez"</f>
        <v>lecortez</v>
      </c>
      <c r="I786" t="str">
        <f>"023"</f>
        <v>023</v>
      </c>
      <c r="J786" t="str">
        <f t="shared" si="186"/>
        <v>N</v>
      </c>
    </row>
    <row r="787" spans="1:10">
      <c r="A787" t="str">
        <f>"1046EN01"</f>
        <v>1046EN01</v>
      </c>
      <c r="B787" t="str">
        <f t="shared" si="187"/>
        <v>ACT</v>
      </c>
      <c r="C787" t="str">
        <f>"13"</f>
        <v>13</v>
      </c>
      <c r="D787" t="str">
        <f>"TQP20956"</f>
        <v>TQP20956</v>
      </c>
      <c r="E787" t="str">
        <f>"AB17665"</f>
        <v>AB17665</v>
      </c>
      <c r="F787" t="str">
        <f>"DMM2150"</f>
        <v>DMM2150</v>
      </c>
      <c r="G787" t="str">
        <f>"CYBONDER #35"</f>
        <v>CYBONDER #35</v>
      </c>
      <c r="H787" t="str">
        <f>"lecortez"</f>
        <v>lecortez</v>
      </c>
      <c r="I787" t="str">
        <f>"023"</f>
        <v>023</v>
      </c>
      <c r="J787" t="str">
        <f t="shared" si="186"/>
        <v>N</v>
      </c>
    </row>
    <row r="788" spans="1:10">
      <c r="A788" t="str">
        <f>"1106OS00"</f>
        <v>1106OS00</v>
      </c>
      <c r="B788" t="str">
        <f t="shared" si="187"/>
        <v>ACT</v>
      </c>
      <c r="C788" t="str">
        <f>"13"</f>
        <v>13</v>
      </c>
      <c r="D788" t="str">
        <f>"TQP20980"</f>
        <v>TQP20980</v>
      </c>
      <c r="E788" t="str">
        <f>"AB15815"</f>
        <v>AB15815</v>
      </c>
      <c r="F788" t="str">
        <f>"DMM2150"</f>
        <v>DMM2150</v>
      </c>
      <c r="G788" t="str">
        <f>"CYBONDER # 32"</f>
        <v>CYBONDER # 32</v>
      </c>
      <c r="H788" t="str">
        <f>"lecortez"</f>
        <v>lecortez</v>
      </c>
      <c r="I788" t="str">
        <f>"023"</f>
        <v>023</v>
      </c>
      <c r="J788" t="str">
        <f t="shared" si="186"/>
        <v>N</v>
      </c>
    </row>
    <row r="789" spans="1:10">
      <c r="A789" t="str">
        <f>"1106OS01"</f>
        <v>1106OS01</v>
      </c>
      <c r="B789" t="str">
        <f t="shared" si="187"/>
        <v>ACT</v>
      </c>
      <c r="C789" t="str">
        <f>"43"</f>
        <v>43</v>
      </c>
      <c r="D789" t="str">
        <f>"TQP21366"</f>
        <v>TQP21366</v>
      </c>
      <c r="E789" t="str">
        <f>"AB17662"</f>
        <v>AB17662</v>
      </c>
      <c r="F789" t="str">
        <f>"DMM2150"</f>
        <v>DMM2150</v>
      </c>
      <c r="G789" t="str">
        <f>"CYBOND # 56"</f>
        <v>CYBOND # 56</v>
      </c>
      <c r="H789" t="str">
        <f>"vvazquez"</f>
        <v>vvazquez</v>
      </c>
      <c r="I789" t="str">
        <f>"023"</f>
        <v>023</v>
      </c>
      <c r="J789" t="str">
        <f t="shared" si="186"/>
        <v>N</v>
      </c>
    </row>
    <row r="790" spans="1:10">
      <c r="A790" t="str">
        <f>"0420MD01"</f>
        <v>0420MD01</v>
      </c>
      <c r="B790" t="str">
        <f t="shared" si="187"/>
        <v>ACT</v>
      </c>
      <c r="C790" t="str">
        <f>"09"</f>
        <v>09</v>
      </c>
      <c r="D790" t="str">
        <f>"N/A"</f>
        <v>N/A</v>
      </c>
      <c r="E790" t="str">
        <f>"CML-1100291"</f>
        <v>CML-1100291</v>
      </c>
      <c r="F790" t="str">
        <f>"CM-500A"</f>
        <v>CM-500A</v>
      </c>
      <c r="G790" t="str">
        <f>"ESD CONSTANT MONITOR"</f>
        <v>ESD CONSTANT MONITOR</v>
      </c>
      <c r="H790" t="str">
        <f>"hcharles"</f>
        <v>hcharles</v>
      </c>
      <c r="I790" t="str">
        <f>"058"</f>
        <v>058</v>
      </c>
      <c r="J790" t="str">
        <f t="shared" si="186"/>
        <v>N</v>
      </c>
    </row>
    <row r="791" spans="1:10">
      <c r="A791" t="str">
        <f>"1040LX01"</f>
        <v>1040LX01</v>
      </c>
      <c r="B791" t="str">
        <f t="shared" si="187"/>
        <v>ACT</v>
      </c>
      <c r="C791" t="str">
        <f>"09"</f>
        <v>09</v>
      </c>
      <c r="D791" t="str">
        <f>"N/A"</f>
        <v>N/A</v>
      </c>
      <c r="E791" t="str">
        <f>"AB17660"</f>
        <v>AB17660</v>
      </c>
      <c r="F791" t="str">
        <f t="shared" ref="F791:F796" si="188">"DMM2150"</f>
        <v>DMM2150</v>
      </c>
      <c r="G791" t="str">
        <f>"CYBONDER # 27"</f>
        <v>CYBONDER # 27</v>
      </c>
      <c r="H791" t="str">
        <f>"lecortez"</f>
        <v>lecortez</v>
      </c>
      <c r="I791" t="str">
        <f t="shared" ref="I791:I796" si="189">"023"</f>
        <v>023</v>
      </c>
      <c r="J791" t="str">
        <f t="shared" si="186"/>
        <v>N</v>
      </c>
    </row>
    <row r="792" spans="1:10">
      <c r="A792" t="str">
        <f>"1040LX00"</f>
        <v>1040LX00</v>
      </c>
      <c r="B792" t="str">
        <f t="shared" si="187"/>
        <v>ACT</v>
      </c>
      <c r="C792" t="str">
        <f>"26"</f>
        <v>26</v>
      </c>
      <c r="D792" t="str">
        <f>"N/A"</f>
        <v>N/A</v>
      </c>
      <c r="E792" t="str">
        <f>"AB18029"</f>
        <v>AB18029</v>
      </c>
      <c r="F792" t="str">
        <f t="shared" si="188"/>
        <v>DMM2150</v>
      </c>
      <c r="G792" t="str">
        <f>"CYBONDER # 26"</f>
        <v>CYBONDER # 26</v>
      </c>
      <c r="H792" t="str">
        <f>"lecortez"</f>
        <v>lecortez</v>
      </c>
      <c r="I792" t="str">
        <f t="shared" si="189"/>
        <v>023</v>
      </c>
      <c r="J792" t="str">
        <f t="shared" si="186"/>
        <v>N</v>
      </c>
    </row>
    <row r="793" spans="1:10">
      <c r="A793" t="str">
        <f>"1047OS00"</f>
        <v>1047OS00</v>
      </c>
      <c r="B793" t="str">
        <f t="shared" si="187"/>
        <v>ACT</v>
      </c>
      <c r="C793" t="str">
        <f>"43"</f>
        <v>43</v>
      </c>
      <c r="D793" t="str">
        <f>"TQP20960"</f>
        <v>TQP20960</v>
      </c>
      <c r="E793" t="str">
        <f>"AB17347"</f>
        <v>AB17347</v>
      </c>
      <c r="F793" t="str">
        <f t="shared" si="188"/>
        <v>DMM2150</v>
      </c>
      <c r="G793" t="str">
        <f>"CYBOND#57"</f>
        <v>CYBOND#57</v>
      </c>
      <c r="H793" t="str">
        <f>"vvazquez"</f>
        <v>vvazquez</v>
      </c>
      <c r="I793" t="str">
        <f t="shared" si="189"/>
        <v>023</v>
      </c>
      <c r="J793" t="str">
        <f t="shared" si="186"/>
        <v>N</v>
      </c>
    </row>
    <row r="794" spans="1:10">
      <c r="A794" t="str">
        <f>"LE-011-02049"</f>
        <v>LE-011-02049</v>
      </c>
      <c r="B794" t="str">
        <f t="shared" si="187"/>
        <v>ACT</v>
      </c>
      <c r="C794" t="str">
        <f>"13"</f>
        <v>13</v>
      </c>
      <c r="D794" t="str">
        <f>"TQP22520"</f>
        <v>TQP22520</v>
      </c>
      <c r="E794" t="str">
        <f>"AB17664"</f>
        <v>AB17664</v>
      </c>
      <c r="F794" t="str">
        <f t="shared" si="188"/>
        <v>DMM2150</v>
      </c>
      <c r="G794" t="str">
        <f>"CYTEST#6"</f>
        <v>CYTEST#6</v>
      </c>
      <c r="H794" t="str">
        <f>"hvazquez"</f>
        <v>hvazquez</v>
      </c>
      <c r="I794" t="str">
        <f t="shared" si="189"/>
        <v>023</v>
      </c>
      <c r="J794" t="str">
        <f t="shared" si="186"/>
        <v>N</v>
      </c>
    </row>
    <row r="795" spans="1:10">
      <c r="A795" t="str">
        <f>"LE-011-01988"</f>
        <v>LE-011-01988</v>
      </c>
      <c r="B795" t="str">
        <f t="shared" si="187"/>
        <v>ACT</v>
      </c>
      <c r="C795" t="str">
        <f>"13"</f>
        <v>13</v>
      </c>
      <c r="D795" t="str">
        <f>"TQP21666"</f>
        <v>TQP21666</v>
      </c>
      <c r="E795" t="str">
        <f>"AB17346"</f>
        <v>AB17346</v>
      </c>
      <c r="F795" t="str">
        <f t="shared" si="188"/>
        <v>DMM2150</v>
      </c>
      <c r="G795" t="str">
        <f>"CYTEST #11"</f>
        <v>CYTEST #11</v>
      </c>
      <c r="H795" t="str">
        <f>"hvazquez"</f>
        <v>hvazquez</v>
      </c>
      <c r="I795" t="str">
        <f t="shared" si="189"/>
        <v>023</v>
      </c>
      <c r="J795" t="str">
        <f t="shared" si="186"/>
        <v>N</v>
      </c>
    </row>
    <row r="796" spans="1:10">
      <c r="A796" t="str">
        <f>"1046EN00"</f>
        <v>1046EN00</v>
      </c>
      <c r="B796" t="str">
        <f t="shared" si="187"/>
        <v>ACT</v>
      </c>
      <c r="C796" t="str">
        <f>"09"</f>
        <v>09</v>
      </c>
      <c r="D796" t="str">
        <f>"TQP20959"</f>
        <v>TQP20959</v>
      </c>
      <c r="E796" t="str">
        <f>"AB16354"</f>
        <v>AB16354</v>
      </c>
      <c r="F796" t="str">
        <f t="shared" si="188"/>
        <v>DMM2150</v>
      </c>
      <c r="G796" t="str">
        <f>"CYBONDER# 34"</f>
        <v>CYBONDER# 34</v>
      </c>
      <c r="H796" t="str">
        <f>"lecortez"</f>
        <v>lecortez</v>
      </c>
      <c r="I796" t="str">
        <f t="shared" si="189"/>
        <v>023</v>
      </c>
      <c r="J796" t="str">
        <f t="shared" si="186"/>
        <v>N</v>
      </c>
    </row>
    <row r="797" spans="1:10">
      <c r="A797" t="str">
        <f>"1129EN00"</f>
        <v>1129EN00</v>
      </c>
      <c r="B797" t="str">
        <f t="shared" si="187"/>
        <v>ACT</v>
      </c>
      <c r="C797" t="str">
        <f>"09"</f>
        <v>09</v>
      </c>
      <c r="D797" t="str">
        <f t="shared" ref="D797:D802" si="190">"N/A"</f>
        <v>N/A</v>
      </c>
      <c r="E797" t="str">
        <f>"CML-1100290"</f>
        <v>CML-1100290</v>
      </c>
      <c r="F797" t="str">
        <f>"CM-500"</f>
        <v>CM-500</v>
      </c>
      <c r="G797" t="str">
        <f>"ESD CONSTANT MONITOR"</f>
        <v>ESD CONSTANT MONITOR</v>
      </c>
      <c r="H797" t="str">
        <f>"ecerda"</f>
        <v>ecerda</v>
      </c>
      <c r="I797" t="str">
        <f>"058"</f>
        <v>058</v>
      </c>
      <c r="J797" t="str">
        <f t="shared" si="186"/>
        <v>N</v>
      </c>
    </row>
    <row r="798" spans="1:10">
      <c r="A798" t="str">
        <f>"1129EN02"</f>
        <v>1129EN02</v>
      </c>
      <c r="B798" t="str">
        <f t="shared" si="187"/>
        <v>ACT</v>
      </c>
      <c r="C798" t="str">
        <f>"37"</f>
        <v>37</v>
      </c>
      <c r="D798" t="str">
        <f t="shared" si="190"/>
        <v>N/A</v>
      </c>
      <c r="E798" t="str">
        <f>"N/A"</f>
        <v>N/A</v>
      </c>
      <c r="F798" t="str">
        <f>"N/A"</f>
        <v>N/A</v>
      </c>
      <c r="G798" t="str">
        <f>"EQUIPO FUNCIONAL 1608X"</f>
        <v>EQUIPO FUNCIONAL 1608X</v>
      </c>
      <c r="H798" t="str">
        <f>"jgallo"</f>
        <v>jgallo</v>
      </c>
      <c r="I798" t="str">
        <f>"081"</f>
        <v>081</v>
      </c>
      <c r="J798" t="str">
        <f t="shared" si="186"/>
        <v>N</v>
      </c>
    </row>
    <row r="799" spans="1:10">
      <c r="A799" t="str">
        <f>"1130PG01"</f>
        <v>1130PG01</v>
      </c>
      <c r="B799" t="str">
        <f t="shared" si="187"/>
        <v>ACT</v>
      </c>
      <c r="C799" t="str">
        <f>"34"</f>
        <v>34</v>
      </c>
      <c r="D799" t="str">
        <f t="shared" si="190"/>
        <v>N/A</v>
      </c>
      <c r="E799" t="str">
        <f>"PIRE7000095"</f>
        <v>PIRE7000095</v>
      </c>
      <c r="F799" t="str">
        <f>"N/A"</f>
        <v>N/A</v>
      </c>
      <c r="G799" t="str">
        <f>"EQUIPO DE PRUEBA XFP"</f>
        <v>EQUIPO DE PRUEBA XFP</v>
      </c>
      <c r="H799" t="str">
        <f>"jcastaneda"</f>
        <v>jcastaneda</v>
      </c>
      <c r="I799" t="str">
        <f>"081"</f>
        <v>081</v>
      </c>
      <c r="J799" t="str">
        <f t="shared" si="186"/>
        <v>N</v>
      </c>
    </row>
    <row r="800" spans="1:10">
      <c r="A800" t="str">
        <f>"1135FG00"</f>
        <v>1135FG00</v>
      </c>
      <c r="B800" t="str">
        <f>"INACT"</f>
        <v>INACT</v>
      </c>
      <c r="C800" t="str">
        <f>"35"</f>
        <v>35</v>
      </c>
      <c r="D800" t="str">
        <f t="shared" si="190"/>
        <v>N/A</v>
      </c>
      <c r="E800" t="str">
        <f>"N/A"</f>
        <v>N/A</v>
      </c>
      <c r="F800" t="str">
        <f>"N/A"</f>
        <v>N/A</v>
      </c>
      <c r="G800" t="str">
        <f>"REPORTE DE INVENTARIO  PARA FG"</f>
        <v>REPORTE DE INVENTARIO  PARA FG</v>
      </c>
      <c r="H800" t="str">
        <f>"cfararoni"</f>
        <v>cfararoni</v>
      </c>
      <c r="I800" t="str">
        <f>"081"</f>
        <v>081</v>
      </c>
      <c r="J800" t="str">
        <f t="shared" si="186"/>
        <v>N</v>
      </c>
    </row>
    <row r="801" spans="1:10">
      <c r="A801" t="str">
        <f>"1135FG01"</f>
        <v>1135FG01</v>
      </c>
      <c r="B801" t="str">
        <f>"INACT"</f>
        <v>INACT</v>
      </c>
      <c r="C801" t="str">
        <f>"35"</f>
        <v>35</v>
      </c>
      <c r="D801" t="str">
        <f t="shared" si="190"/>
        <v>N/A</v>
      </c>
      <c r="E801" t="str">
        <f>"N/A"</f>
        <v>N/A</v>
      </c>
      <c r="F801" t="str">
        <f>"N/A"</f>
        <v>N/A</v>
      </c>
      <c r="G801" t="str">
        <f>"RE-ACOMODO DE ALMACEN DE GF"</f>
        <v>RE-ACOMODO DE ALMACEN DE GF</v>
      </c>
      <c r="H801" t="str">
        <f>"cfararoni"</f>
        <v>cfararoni</v>
      </c>
      <c r="I801" t="str">
        <f>"081"</f>
        <v>081</v>
      </c>
      <c r="J801" t="str">
        <f t="shared" si="186"/>
        <v>N</v>
      </c>
    </row>
    <row r="802" spans="1:10">
      <c r="A802" t="str">
        <f>"1135FG03"</f>
        <v>1135FG03</v>
      </c>
      <c r="B802" t="str">
        <f>"INACT"</f>
        <v>INACT</v>
      </c>
      <c r="C802" t="str">
        <f>"35"</f>
        <v>35</v>
      </c>
      <c r="D802" t="str">
        <f t="shared" si="190"/>
        <v>N/A</v>
      </c>
      <c r="E802" t="str">
        <f>"N/A"</f>
        <v>N/A</v>
      </c>
      <c r="F802" t="str">
        <f>"N/A"</f>
        <v>N/A</v>
      </c>
      <c r="G802" t="str">
        <f>"REPORTE DE  EMPATE OSAS VS. SAP"</f>
        <v>REPORTE DE  EMPATE OSAS VS. SAP</v>
      </c>
      <c r="H802" t="str">
        <f>"cfararoni"</f>
        <v>cfararoni</v>
      </c>
      <c r="I802" t="str">
        <f>"081"</f>
        <v>081</v>
      </c>
      <c r="J802" t="str">
        <f t="shared" si="186"/>
        <v>N</v>
      </c>
    </row>
    <row r="803" spans="1:10">
      <c r="A803" t="str">
        <f>"1047FC00"</f>
        <v>1047FC00</v>
      </c>
      <c r="B803" t="str">
        <f t="shared" ref="B803:B822" si="191">"ACT"</f>
        <v>ACT</v>
      </c>
      <c r="C803" t="str">
        <f t="shared" ref="C803:C815" si="192">"16"</f>
        <v>16</v>
      </c>
      <c r="D803" t="str">
        <f>"TQP14358"</f>
        <v>TQP14358</v>
      </c>
      <c r="E803" t="str">
        <f>"I5015"</f>
        <v>I5015</v>
      </c>
      <c r="F803" t="str">
        <f>"TRO-100H1A"</f>
        <v>TRO-100H1A</v>
      </c>
      <c r="G803" t="str">
        <f>"BOMBA DE VACIO  TRAVANI # 2"</f>
        <v>BOMBA DE VACIO  TRAVANI # 2</v>
      </c>
      <c r="H803" t="str">
        <f t="shared" ref="H803:H815" si="193">"jmaldonado"</f>
        <v>jmaldonado</v>
      </c>
      <c r="I803" t="str">
        <f>"092"</f>
        <v>092</v>
      </c>
      <c r="J803" t="str">
        <f t="shared" si="186"/>
        <v>N</v>
      </c>
    </row>
    <row r="804" spans="1:10">
      <c r="A804" t="str">
        <f>"LE-061-01363"</f>
        <v>LE-061-01363</v>
      </c>
      <c r="B804" t="str">
        <f t="shared" si="191"/>
        <v>ACT</v>
      </c>
      <c r="C804" t="str">
        <f t="shared" si="192"/>
        <v>16</v>
      </c>
      <c r="D804" t="str">
        <f>"N/A"</f>
        <v>N/A</v>
      </c>
      <c r="E804" t="str">
        <f>"851"</f>
        <v>851</v>
      </c>
      <c r="F804" t="str">
        <f>"7PK56B17F5521FP"</f>
        <v>7PK56B17F5521FP</v>
      </c>
      <c r="G804" t="str">
        <f>"SISTEMA DE TRATAMIENTO DE AGUA (RO)-M"</f>
        <v>SISTEMA DE TRATAMIENTO DE AGUA (RO)-M</v>
      </c>
      <c r="H804" t="str">
        <f t="shared" si="193"/>
        <v>jmaldonado</v>
      </c>
      <c r="I804" t="str">
        <f>"100"</f>
        <v>100</v>
      </c>
      <c r="J804" t="str">
        <f t="shared" si="186"/>
        <v>N</v>
      </c>
    </row>
    <row r="805" spans="1:10">
      <c r="A805" t="str">
        <f>"1049FC02"</f>
        <v>1049FC02</v>
      </c>
      <c r="B805" t="str">
        <f t="shared" si="191"/>
        <v>ACT</v>
      </c>
      <c r="C805" t="str">
        <f t="shared" si="192"/>
        <v>16</v>
      </c>
      <c r="D805" t="str">
        <f>"N/A"</f>
        <v>N/A</v>
      </c>
      <c r="E805" t="str">
        <f t="shared" ref="E805:F808" si="194">"N/A"</f>
        <v>N/A</v>
      </c>
      <c r="F805" t="str">
        <f t="shared" si="194"/>
        <v>N/A</v>
      </c>
      <c r="G805" t="str">
        <f>"RAMPA MECANICA DE EMBARQUES # 01"</f>
        <v>RAMPA MECANICA DE EMBARQUES # 01</v>
      </c>
      <c r="H805" t="str">
        <f t="shared" si="193"/>
        <v>jmaldonado</v>
      </c>
      <c r="I805" t="str">
        <f>"081"</f>
        <v>081</v>
      </c>
      <c r="J805" t="str">
        <f t="shared" si="186"/>
        <v>N</v>
      </c>
    </row>
    <row r="806" spans="1:10">
      <c r="A806" t="str">
        <f>"1049FC03"</f>
        <v>1049FC03</v>
      </c>
      <c r="B806" t="str">
        <f t="shared" si="191"/>
        <v>ACT</v>
      </c>
      <c r="C806" t="str">
        <f t="shared" si="192"/>
        <v>16</v>
      </c>
      <c r="D806" t="str">
        <f>"N/A"</f>
        <v>N/A</v>
      </c>
      <c r="E806" t="str">
        <f t="shared" si="194"/>
        <v>N/A</v>
      </c>
      <c r="F806" t="str">
        <f t="shared" si="194"/>
        <v>N/A</v>
      </c>
      <c r="G806" t="str">
        <f>"RAMPA MECANICA EMBARQUES # 02"</f>
        <v>RAMPA MECANICA EMBARQUES # 02</v>
      </c>
      <c r="H806" t="str">
        <f t="shared" si="193"/>
        <v>jmaldonado</v>
      </c>
      <c r="I806" t="str">
        <f>"081"</f>
        <v>081</v>
      </c>
      <c r="J806" t="str">
        <f t="shared" si="186"/>
        <v>N</v>
      </c>
    </row>
    <row r="807" spans="1:10">
      <c r="A807" t="str">
        <f>"1049FC04"</f>
        <v>1049FC04</v>
      </c>
      <c r="B807" t="str">
        <f t="shared" si="191"/>
        <v>ACT</v>
      </c>
      <c r="C807" t="str">
        <f t="shared" si="192"/>
        <v>16</v>
      </c>
      <c r="D807" t="str">
        <f>"N/A"</f>
        <v>N/A</v>
      </c>
      <c r="E807" t="str">
        <f t="shared" si="194"/>
        <v>N/A</v>
      </c>
      <c r="F807" t="str">
        <f t="shared" si="194"/>
        <v>N/A</v>
      </c>
      <c r="G807" t="str">
        <f>"RAMPA MECANICA DE EMBARQUES # 03"</f>
        <v>RAMPA MECANICA DE EMBARQUES # 03</v>
      </c>
      <c r="H807" t="str">
        <f t="shared" si="193"/>
        <v>jmaldonado</v>
      </c>
      <c r="I807" t="str">
        <f>"081"</f>
        <v>081</v>
      </c>
      <c r="J807" t="str">
        <f t="shared" si="186"/>
        <v>N</v>
      </c>
    </row>
    <row r="808" spans="1:10">
      <c r="A808" t="str">
        <f>"1049FC05"</f>
        <v>1049FC05</v>
      </c>
      <c r="B808" t="str">
        <f t="shared" si="191"/>
        <v>ACT</v>
      </c>
      <c r="C808" t="str">
        <f t="shared" si="192"/>
        <v>16</v>
      </c>
      <c r="D808" t="str">
        <f>"N/A"</f>
        <v>N/A</v>
      </c>
      <c r="E808" t="str">
        <f t="shared" si="194"/>
        <v>N/A</v>
      </c>
      <c r="F808" t="str">
        <f t="shared" si="194"/>
        <v>N/A</v>
      </c>
      <c r="G808" t="str">
        <f>"CORTINA MECANICA #05  COMPRESORES"</f>
        <v>CORTINA MECANICA #05  COMPRESORES</v>
      </c>
      <c r="H808" t="str">
        <f t="shared" si="193"/>
        <v>jmaldonado</v>
      </c>
      <c r="I808" t="str">
        <f>"081"</f>
        <v>081</v>
      </c>
      <c r="J808" t="str">
        <f t="shared" si="186"/>
        <v>N</v>
      </c>
    </row>
    <row r="809" spans="1:10">
      <c r="A809" t="str">
        <f>"LE-026-00186"</f>
        <v>LE-026-00186</v>
      </c>
      <c r="B809" t="str">
        <f t="shared" si="191"/>
        <v>ACT</v>
      </c>
      <c r="C809" t="str">
        <f t="shared" si="192"/>
        <v>16</v>
      </c>
      <c r="D809" t="str">
        <f>"TQP14393"</f>
        <v>TQP14393</v>
      </c>
      <c r="E809" t="str">
        <f>"243074-001"</f>
        <v>243074-001</v>
      </c>
      <c r="F809" t="str">
        <f>"SYSTEM 3 VH380A-AAE1"</f>
        <v>SYSTEM 3 VH380A-AAE1</v>
      </c>
      <c r="G809" t="str">
        <f>"AIR HANDLER ""A"""</f>
        <v>AIR HANDLER "A"</v>
      </c>
      <c r="H809" t="str">
        <f t="shared" si="193"/>
        <v>jmaldonado</v>
      </c>
      <c r="I809" t="str">
        <f t="shared" ref="I809:I815" si="195">"045"</f>
        <v>045</v>
      </c>
      <c r="J809" t="str">
        <f t="shared" si="186"/>
        <v>N</v>
      </c>
    </row>
    <row r="810" spans="1:10">
      <c r="A810" t="str">
        <f>"LE-026-00188"</f>
        <v>LE-026-00188</v>
      </c>
      <c r="B810" t="str">
        <f t="shared" si="191"/>
        <v>ACT</v>
      </c>
      <c r="C810" t="str">
        <f t="shared" si="192"/>
        <v>16</v>
      </c>
      <c r="D810" t="str">
        <f>"N/A"</f>
        <v>N/A</v>
      </c>
      <c r="E810" t="str">
        <f>"243074-002"</f>
        <v>243074-002</v>
      </c>
      <c r="F810" t="str">
        <f>"SYSTEM 3 VH380A-AAE1"</f>
        <v>SYSTEM 3 VH380A-AAE1</v>
      </c>
      <c r="G810" t="str">
        <f>"AIR HANDLER ""B"""</f>
        <v>AIR HANDLER "B"</v>
      </c>
      <c r="H810" t="str">
        <f t="shared" si="193"/>
        <v>jmaldonado</v>
      </c>
      <c r="I810" t="str">
        <f t="shared" si="195"/>
        <v>045</v>
      </c>
      <c r="J810" t="str">
        <f t="shared" si="186"/>
        <v>N</v>
      </c>
    </row>
    <row r="811" spans="1:10">
      <c r="A811" t="str">
        <f>"LE-026-00192"</f>
        <v>LE-026-00192</v>
      </c>
      <c r="B811" t="str">
        <f t="shared" si="191"/>
        <v>ACT</v>
      </c>
      <c r="C811" t="str">
        <f t="shared" si="192"/>
        <v>16</v>
      </c>
      <c r="D811" t="str">
        <f>"N/A"</f>
        <v>N/A</v>
      </c>
      <c r="E811" t="str">
        <f>"243074-003"</f>
        <v>243074-003</v>
      </c>
      <c r="F811" t="str">
        <f>"SYSTEM 3 VH380A-AAE1"</f>
        <v>SYSTEM 3 VH380A-AAE1</v>
      </c>
      <c r="G811" t="str">
        <f>"AIR HANDLER ""C"""</f>
        <v>AIR HANDLER "C"</v>
      </c>
      <c r="H811" t="str">
        <f t="shared" si="193"/>
        <v>jmaldonado</v>
      </c>
      <c r="I811" t="str">
        <f t="shared" si="195"/>
        <v>045</v>
      </c>
      <c r="J811" t="str">
        <f t="shared" si="186"/>
        <v>N</v>
      </c>
    </row>
    <row r="812" spans="1:10">
      <c r="A812" t="str">
        <f>"LE-026-00193"</f>
        <v>LE-026-00193</v>
      </c>
      <c r="B812" t="str">
        <f t="shared" si="191"/>
        <v>ACT</v>
      </c>
      <c r="C812" t="str">
        <f t="shared" si="192"/>
        <v>16</v>
      </c>
      <c r="D812" t="str">
        <f>"N/A"</f>
        <v>N/A</v>
      </c>
      <c r="E812" t="str">
        <f>"243074-006"</f>
        <v>243074-006</v>
      </c>
      <c r="F812" t="str">
        <f>"SYSTEM 3 VH380A-AAE1"</f>
        <v>SYSTEM 3 VH380A-AAE1</v>
      </c>
      <c r="G812" t="str">
        <f>"AIR HANDLER ""D"""</f>
        <v>AIR HANDLER "D"</v>
      </c>
      <c r="H812" t="str">
        <f t="shared" si="193"/>
        <v>jmaldonado</v>
      </c>
      <c r="I812" t="str">
        <f t="shared" si="195"/>
        <v>045</v>
      </c>
      <c r="J812" t="str">
        <f t="shared" si="186"/>
        <v>N</v>
      </c>
    </row>
    <row r="813" spans="1:10">
      <c r="A813" t="str">
        <f>"LE-026-00194"</f>
        <v>LE-026-00194</v>
      </c>
      <c r="B813" t="str">
        <f t="shared" si="191"/>
        <v>ACT</v>
      </c>
      <c r="C813" t="str">
        <f t="shared" si="192"/>
        <v>16</v>
      </c>
      <c r="D813" t="str">
        <f>"N/A"</f>
        <v>N/A</v>
      </c>
      <c r="E813" t="str">
        <f>"243074-008"</f>
        <v>243074-008</v>
      </c>
      <c r="F813" t="str">
        <f>"SYSTEM 3 VH380A-AAE1"</f>
        <v>SYSTEM 3 VH380A-AAE1</v>
      </c>
      <c r="G813" t="str">
        <f>"AIR HANDLER ""E"""</f>
        <v>AIR HANDLER "E"</v>
      </c>
      <c r="H813" t="str">
        <f t="shared" si="193"/>
        <v>jmaldonado</v>
      </c>
      <c r="I813" t="str">
        <f t="shared" si="195"/>
        <v>045</v>
      </c>
      <c r="J813" t="str">
        <f t="shared" si="186"/>
        <v>N</v>
      </c>
    </row>
    <row r="814" spans="1:10">
      <c r="A814" t="str">
        <f>"LE-010-24187"</f>
        <v>LE-010-24187</v>
      </c>
      <c r="B814" t="str">
        <f t="shared" si="191"/>
        <v>ACT</v>
      </c>
      <c r="C814" t="str">
        <f t="shared" si="192"/>
        <v>16</v>
      </c>
      <c r="D814" t="str">
        <f>"N/A"</f>
        <v>N/A</v>
      </c>
      <c r="E814" t="str">
        <f>"331546-001"</f>
        <v>331546-001</v>
      </c>
      <c r="F814" t="str">
        <f>"UH199A-ASM"</f>
        <v>UH199A-ASM</v>
      </c>
      <c r="G814" t="str">
        <f>"AIR HANDLER ""F"""</f>
        <v>AIR HANDLER "F"</v>
      </c>
      <c r="H814" t="str">
        <f t="shared" si="193"/>
        <v>jmaldonado</v>
      </c>
      <c r="I814" t="str">
        <f t="shared" si="195"/>
        <v>045</v>
      </c>
      <c r="J814" t="str">
        <f t="shared" si="186"/>
        <v>N</v>
      </c>
    </row>
    <row r="815" spans="1:10">
      <c r="A815" t="str">
        <f>"LE-010-24186"</f>
        <v>LE-010-24186</v>
      </c>
      <c r="B815" t="str">
        <f t="shared" si="191"/>
        <v>ACT</v>
      </c>
      <c r="C815" t="str">
        <f t="shared" si="192"/>
        <v>16</v>
      </c>
      <c r="D815" t="str">
        <f>"TQP14389"</f>
        <v>TQP14389</v>
      </c>
      <c r="E815" t="str">
        <f>"331546-003"</f>
        <v>331546-003</v>
      </c>
      <c r="F815" t="str">
        <f>"UH199A-ASM"</f>
        <v>UH199A-ASM</v>
      </c>
      <c r="G815" t="str">
        <f>"CONDENSER ""H"""</f>
        <v>CONDENSER "H"</v>
      </c>
      <c r="H815" t="str">
        <f t="shared" si="193"/>
        <v>jmaldonado</v>
      </c>
      <c r="I815" t="str">
        <f t="shared" si="195"/>
        <v>045</v>
      </c>
      <c r="J815" t="str">
        <f t="shared" si="186"/>
        <v>N</v>
      </c>
    </row>
    <row r="816" spans="1:10">
      <c r="A816" t="str">
        <f>"1125OS00"</f>
        <v>1125OS00</v>
      </c>
      <c r="B816" t="str">
        <f t="shared" si="191"/>
        <v>ACT</v>
      </c>
      <c r="C816" t="str">
        <f>"13"</f>
        <v>13</v>
      </c>
      <c r="D816" t="str">
        <f>"TQP18132"</f>
        <v>TQP18132</v>
      </c>
      <c r="E816" t="str">
        <f>"AB15817"</f>
        <v>AB15817</v>
      </c>
      <c r="F816" t="str">
        <f>"DMM2150"</f>
        <v>DMM2150</v>
      </c>
      <c r="G816" t="str">
        <f>"CYBONDER  OSA  #  37"</f>
        <v>CYBONDER  OSA  #  37</v>
      </c>
      <c r="H816" t="str">
        <f>"vvazquez"</f>
        <v>vvazquez</v>
      </c>
      <c r="I816" t="str">
        <f>"023"</f>
        <v>023</v>
      </c>
      <c r="J816" t="str">
        <f t="shared" si="186"/>
        <v>N</v>
      </c>
    </row>
    <row r="817" spans="1:10">
      <c r="A817" t="str">
        <f>"1124OS00"</f>
        <v>1124OS00</v>
      </c>
      <c r="B817" t="str">
        <f t="shared" si="191"/>
        <v>ACT</v>
      </c>
      <c r="C817" t="str">
        <f>"43"</f>
        <v>43</v>
      </c>
      <c r="D817" t="str">
        <f>"N/A"</f>
        <v>N/A</v>
      </c>
      <c r="E817" t="str">
        <f>"AB15814"</f>
        <v>AB15814</v>
      </c>
      <c r="F817" t="str">
        <f>"DMM2150"</f>
        <v>DMM2150</v>
      </c>
      <c r="G817" t="str">
        <f>"CYBOND # 61"</f>
        <v>CYBOND # 61</v>
      </c>
      <c r="H817" t="str">
        <f>"vvazquez"</f>
        <v>vvazquez</v>
      </c>
      <c r="I817" t="str">
        <f>"023"</f>
        <v>023</v>
      </c>
      <c r="J817" t="str">
        <f t="shared" si="186"/>
        <v>N</v>
      </c>
    </row>
    <row r="818" spans="1:10">
      <c r="A818" t="str">
        <f>"1124OS12"</f>
        <v>1124OS12</v>
      </c>
      <c r="B818" t="str">
        <f t="shared" si="191"/>
        <v>ACT</v>
      </c>
      <c r="C818" t="str">
        <f>"13"</f>
        <v>13</v>
      </c>
      <c r="D818" t="str">
        <f>"N/A"</f>
        <v>N/A</v>
      </c>
      <c r="E818" t="str">
        <f>"AB16278"</f>
        <v>AB16278</v>
      </c>
      <c r="F818" t="str">
        <f>"DMM2150"</f>
        <v>DMM2150</v>
      </c>
      <c r="G818" t="str">
        <f>"CYTEST #13"</f>
        <v>CYTEST #13</v>
      </c>
      <c r="H818" t="str">
        <f>"hvazquez"</f>
        <v>hvazquez</v>
      </c>
      <c r="I818" t="str">
        <f>"023"</f>
        <v>023</v>
      </c>
      <c r="J818" t="str">
        <f t="shared" si="186"/>
        <v>N</v>
      </c>
    </row>
    <row r="819" spans="1:10">
      <c r="A819" t="str">
        <f>"1150QP00"</f>
        <v>1150QP00</v>
      </c>
      <c r="B819" t="str">
        <f t="shared" si="191"/>
        <v>ACT</v>
      </c>
      <c r="C819" t="str">
        <f>"33"</f>
        <v>33</v>
      </c>
      <c r="D819" t="str">
        <f>"N/A"</f>
        <v>N/A</v>
      </c>
      <c r="E819" t="str">
        <f>"PCM5106031"</f>
        <v>PCM5106031</v>
      </c>
      <c r="F819" t="str">
        <f>"CM-500A"</f>
        <v>CM-500A</v>
      </c>
      <c r="G819" t="str">
        <f>"ESD CONSTAT MONITOR (PRUEBAS)"</f>
        <v>ESD CONSTAT MONITOR (PRUEBAS)</v>
      </c>
      <c r="H819" t="str">
        <f>"ageronimo"</f>
        <v>ageronimo</v>
      </c>
      <c r="I819" t="str">
        <f>"058"</f>
        <v>058</v>
      </c>
      <c r="J819" t="str">
        <f t="shared" si="186"/>
        <v>N</v>
      </c>
    </row>
    <row r="820" spans="1:10">
      <c r="A820" t="str">
        <f>"1208FC00"</f>
        <v>1208FC00</v>
      </c>
      <c r="B820" t="str">
        <f t="shared" si="191"/>
        <v>ACT</v>
      </c>
      <c r="C820" t="str">
        <f>"16"</f>
        <v>16</v>
      </c>
      <c r="D820" t="str">
        <f>"TQP 14410"</f>
        <v>TQP 14410</v>
      </c>
      <c r="E820" t="str">
        <f>"0803F18410"</f>
        <v>0803F18410</v>
      </c>
      <c r="F820" t="str">
        <f>"30RAN022A-611"</f>
        <v>30RAN022A-611</v>
      </c>
      <c r="G820" t="str">
        <f>"CHILLER"</f>
        <v>CHILLER</v>
      </c>
      <c r="H820" t="str">
        <f>"jmaldonado"</f>
        <v>jmaldonado</v>
      </c>
      <c r="I820" t="str">
        <f>"017"</f>
        <v>017</v>
      </c>
      <c r="J820" t="str">
        <f t="shared" si="186"/>
        <v>N</v>
      </c>
    </row>
    <row r="821" spans="1:10">
      <c r="A821" t="str">
        <f>"Q-217-01838"</f>
        <v>Q-217-01838</v>
      </c>
      <c r="B821" t="str">
        <f t="shared" si="191"/>
        <v>ACT</v>
      </c>
      <c r="C821" t="str">
        <f>"30"</f>
        <v>30</v>
      </c>
      <c r="D821" t="str">
        <f>"N/A"</f>
        <v>N/A</v>
      </c>
      <c r="E821" t="str">
        <f>"003140026126526"</f>
        <v>003140026126526</v>
      </c>
      <c r="F821" t="str">
        <f>"400612"</f>
        <v>400612</v>
      </c>
      <c r="G821" t="str">
        <f>"ESD IONIZER"</f>
        <v>ESD IONIZER</v>
      </c>
      <c r="H821" t="str">
        <f>"hcharles"</f>
        <v>hcharles</v>
      </c>
      <c r="I821" t="str">
        <f>"119"</f>
        <v>119</v>
      </c>
      <c r="J821" t="str">
        <f t="shared" si="186"/>
        <v>N</v>
      </c>
    </row>
    <row r="822" spans="1:10">
      <c r="A822" t="str">
        <f>"Q-217-01839"</f>
        <v>Q-217-01839</v>
      </c>
      <c r="B822" t="str">
        <f t="shared" si="191"/>
        <v>ACT</v>
      </c>
      <c r="C822" t="str">
        <f>"30"</f>
        <v>30</v>
      </c>
      <c r="D822" t="str">
        <f>"N/A"</f>
        <v>N/A</v>
      </c>
      <c r="E822" t="str">
        <f>"011040026128120"</f>
        <v>011040026128120</v>
      </c>
      <c r="F822" t="str">
        <f>"400612"</f>
        <v>400612</v>
      </c>
      <c r="G822" t="str">
        <f>"ESD IONIZER"</f>
        <v>ESD IONIZER</v>
      </c>
      <c r="H822" t="str">
        <f>"hcharles"</f>
        <v>hcharles</v>
      </c>
      <c r="I822" t="str">
        <f>"119"</f>
        <v>119</v>
      </c>
      <c r="J822" t="str">
        <f t="shared" si="186"/>
        <v>N</v>
      </c>
    </row>
    <row r="823" spans="1:10">
      <c r="A823" t="str">
        <f>"1211QA02"</f>
        <v>1211QA02</v>
      </c>
      <c r="B823" t="str">
        <f>"INACT"</f>
        <v>INACT</v>
      </c>
      <c r="C823" t="str">
        <f>"19"</f>
        <v>19</v>
      </c>
      <c r="D823" t="str">
        <f>"N/A"</f>
        <v>N/A</v>
      </c>
      <c r="E823" t="str">
        <f>"PCM5061100013"</f>
        <v>PCM5061100013</v>
      </c>
      <c r="F823" t="str">
        <f>"CM-500A"</f>
        <v>CM-500A</v>
      </c>
      <c r="G823" t="str">
        <f>"ESD CONSTAT MONITOR"</f>
        <v>ESD CONSTAT MONITOR</v>
      </c>
      <c r="H823" t="str">
        <f>"zfernandez"</f>
        <v>zfernandez</v>
      </c>
      <c r="I823" t="str">
        <f>"058"</f>
        <v>058</v>
      </c>
      <c r="J823" t="str">
        <f t="shared" si="186"/>
        <v>N</v>
      </c>
    </row>
    <row r="824" spans="1:10">
      <c r="A824" t="str">
        <f>"LE-003-00804"</f>
        <v>LE-003-00804</v>
      </c>
      <c r="B824" t="str">
        <f t="shared" ref="B824:B833" si="196">"ACT"</f>
        <v>ACT</v>
      </c>
      <c r="C824" t="str">
        <f>"36"</f>
        <v>36</v>
      </c>
      <c r="D824" t="str">
        <f>"N/A"</f>
        <v>N/A</v>
      </c>
      <c r="E824" t="str">
        <f>"HJ3100-01072"</f>
        <v>HJ3100-01072</v>
      </c>
      <c r="F824" t="str">
        <f>"HJ3100"</f>
        <v>HJ3100</v>
      </c>
      <c r="G824" t="str">
        <f>"FUME  EXTRACTION"</f>
        <v>FUME  EXTRACTION</v>
      </c>
      <c r="H824" t="str">
        <f>"ageronimo"</f>
        <v>ageronimo</v>
      </c>
      <c r="I824" t="str">
        <f>"034"</f>
        <v>034</v>
      </c>
      <c r="J824" t="str">
        <f t="shared" si="186"/>
        <v>N</v>
      </c>
    </row>
    <row r="825" spans="1:10">
      <c r="A825" t="str">
        <f>"LE-003-00783"</f>
        <v>LE-003-00783</v>
      </c>
      <c r="B825" t="str">
        <f t="shared" si="196"/>
        <v>ACT</v>
      </c>
      <c r="C825" t="str">
        <f>"09"</f>
        <v>09</v>
      </c>
      <c r="D825" t="str">
        <f>"N/A"</f>
        <v>N/A</v>
      </c>
      <c r="E825" t="str">
        <f>"HJ3100-01061"</f>
        <v>HJ3100-01061</v>
      </c>
      <c r="F825" t="str">
        <f>"HJ3100"</f>
        <v>HJ3100</v>
      </c>
      <c r="G825" t="str">
        <f>"FUME EXTRACTION"</f>
        <v>FUME EXTRACTION</v>
      </c>
      <c r="H825" t="str">
        <f>"ecerda"</f>
        <v>ecerda</v>
      </c>
      <c r="I825" t="str">
        <f>"034"</f>
        <v>034</v>
      </c>
      <c r="J825" t="str">
        <f t="shared" si="186"/>
        <v>N</v>
      </c>
    </row>
    <row r="826" spans="1:10">
      <c r="A826" t="str">
        <f>"LE-001-04821"</f>
        <v>LE-001-04821</v>
      </c>
      <c r="B826" t="str">
        <f t="shared" si="196"/>
        <v>ACT</v>
      </c>
      <c r="C826" t="str">
        <f>"13"</f>
        <v>13</v>
      </c>
      <c r="D826" t="str">
        <f>"TQP00200"</f>
        <v>TQP00200</v>
      </c>
      <c r="E826" t="str">
        <f t="shared" ref="E826:F828" si="197">"N/A"</f>
        <v>N/A</v>
      </c>
      <c r="F826" t="str">
        <f t="shared" si="197"/>
        <v>N/A</v>
      </c>
      <c r="G826" t="str">
        <f>"TEST SET OSA BANDWITH"</f>
        <v>TEST SET OSA BANDWITH</v>
      </c>
      <c r="H826" t="str">
        <f>"jmarmolejo"</f>
        <v>jmarmolejo</v>
      </c>
      <c r="I826" t="str">
        <f>"081"</f>
        <v>081</v>
      </c>
      <c r="J826" t="str">
        <f t="shared" si="186"/>
        <v>N</v>
      </c>
    </row>
    <row r="827" spans="1:10">
      <c r="A827" t="str">
        <f>"1235OS00"</f>
        <v>1235OS00</v>
      </c>
      <c r="B827" t="str">
        <f t="shared" si="196"/>
        <v>ACT</v>
      </c>
      <c r="C827" t="str">
        <f>"13"</f>
        <v>13</v>
      </c>
      <c r="D827" t="str">
        <f>"CYP2309"</f>
        <v>CYP2309</v>
      </c>
      <c r="E827" t="str">
        <f t="shared" si="197"/>
        <v>N/A</v>
      </c>
      <c r="F827" t="str">
        <f t="shared" si="197"/>
        <v>N/A</v>
      </c>
      <c r="G827" t="str">
        <f>"FUCTIONAL CYTEST#06"</f>
        <v>FUCTIONAL CYTEST#06</v>
      </c>
      <c r="H827" t="str">
        <f>"hvazquez"</f>
        <v>hvazquez</v>
      </c>
      <c r="I827" t="str">
        <f>"081"</f>
        <v>081</v>
      </c>
      <c r="J827" t="str">
        <f t="shared" si="186"/>
        <v>N</v>
      </c>
    </row>
    <row r="828" spans="1:10">
      <c r="A828" t="str">
        <f>"12135OS02"</f>
        <v>12135OS02</v>
      </c>
      <c r="B828" t="str">
        <f t="shared" si="196"/>
        <v>ACT</v>
      </c>
      <c r="C828" t="str">
        <f>"13"</f>
        <v>13</v>
      </c>
      <c r="D828" t="str">
        <f>"CYP2309"</f>
        <v>CYP2309</v>
      </c>
      <c r="E828" t="str">
        <f t="shared" si="197"/>
        <v>N/A</v>
      </c>
      <c r="F828" t="str">
        <f t="shared" si="197"/>
        <v>N/A</v>
      </c>
      <c r="G828" t="str">
        <f>"FUCTIONAL CYTEST#13"</f>
        <v>FUCTIONAL CYTEST#13</v>
      </c>
      <c r="H828" t="str">
        <f>"hvazquez"</f>
        <v>hvazquez</v>
      </c>
      <c r="I828" t="str">
        <f>"081"</f>
        <v>081</v>
      </c>
      <c r="J828" t="str">
        <f t="shared" si="186"/>
        <v>N</v>
      </c>
    </row>
    <row r="829" spans="1:10">
      <c r="A829" t="str">
        <f>"1226LR00"</f>
        <v>1226LR00</v>
      </c>
      <c r="B829" t="str">
        <f t="shared" si="196"/>
        <v>ACT</v>
      </c>
      <c r="C829" t="str">
        <f>"36"</f>
        <v>36</v>
      </c>
      <c r="D829" t="str">
        <f>"N/A"</f>
        <v>N/A</v>
      </c>
      <c r="E829" t="str">
        <f>"CML-1100143"</f>
        <v>CML-1100143</v>
      </c>
      <c r="F829" t="str">
        <f>"CM-500"</f>
        <v>CM-500</v>
      </c>
      <c r="G829" t="str">
        <f>"ESD CONSTANT MONITOR"</f>
        <v>ESD CONSTANT MONITOR</v>
      </c>
      <c r="H829" t="str">
        <f>"zfernandez"</f>
        <v>zfernandez</v>
      </c>
      <c r="I829" t="str">
        <f>"058"</f>
        <v>058</v>
      </c>
      <c r="J829" t="str">
        <f t="shared" si="186"/>
        <v>N</v>
      </c>
    </row>
    <row r="830" spans="1:10">
      <c r="A830" t="str">
        <f>"1249FC00"</f>
        <v>1249FC00</v>
      </c>
      <c r="B830" t="str">
        <f t="shared" si="196"/>
        <v>ACT</v>
      </c>
      <c r="C830" t="str">
        <f>"16"</f>
        <v>16</v>
      </c>
      <c r="D830" t="str">
        <f t="shared" ref="D830:F833" si="198">"NA"</f>
        <v>NA</v>
      </c>
      <c r="E830" t="str">
        <f t="shared" si="198"/>
        <v>NA</v>
      </c>
      <c r="F830" t="str">
        <f t="shared" si="198"/>
        <v>NA</v>
      </c>
      <c r="G830" t="str">
        <f>"PLATAFORMA  CHIMENEA 01"</f>
        <v>PLATAFORMA  CHIMENEA 01</v>
      </c>
      <c r="H830" t="str">
        <f>"jmaldonado"</f>
        <v>jmaldonado</v>
      </c>
      <c r="I830" t="str">
        <f>"081"</f>
        <v>081</v>
      </c>
      <c r="J830" t="str">
        <f t="shared" si="186"/>
        <v>N</v>
      </c>
    </row>
    <row r="831" spans="1:10">
      <c r="A831" t="str">
        <f>"1249FC01"</f>
        <v>1249FC01</v>
      </c>
      <c r="B831" t="str">
        <f t="shared" si="196"/>
        <v>ACT</v>
      </c>
      <c r="C831" t="str">
        <f>"16"</f>
        <v>16</v>
      </c>
      <c r="D831" t="str">
        <f t="shared" si="198"/>
        <v>NA</v>
      </c>
      <c r="E831" t="str">
        <f t="shared" si="198"/>
        <v>NA</v>
      </c>
      <c r="F831" t="str">
        <f t="shared" si="198"/>
        <v>NA</v>
      </c>
      <c r="G831" t="str">
        <f>"PLATAFORMA CHIMENEA  02"</f>
        <v>PLATAFORMA CHIMENEA  02</v>
      </c>
      <c r="H831" t="str">
        <f>"jmaldonado"</f>
        <v>jmaldonado</v>
      </c>
      <c r="I831" t="str">
        <f>"081"</f>
        <v>081</v>
      </c>
      <c r="J831" t="str">
        <f t="shared" si="186"/>
        <v>N</v>
      </c>
    </row>
    <row r="832" spans="1:10">
      <c r="A832" t="str">
        <f>"1249FC03"</f>
        <v>1249FC03</v>
      </c>
      <c r="B832" t="str">
        <f t="shared" si="196"/>
        <v>ACT</v>
      </c>
      <c r="C832" t="str">
        <f>"16"</f>
        <v>16</v>
      </c>
      <c r="D832" t="str">
        <f t="shared" si="198"/>
        <v>NA</v>
      </c>
      <c r="E832" t="str">
        <f t="shared" si="198"/>
        <v>NA</v>
      </c>
      <c r="F832" t="str">
        <f t="shared" si="198"/>
        <v>NA</v>
      </c>
      <c r="G832" t="s">
        <v>2</v>
      </c>
      <c r="H832" t="str">
        <f>"jmaldonado"</f>
        <v>jmaldonado</v>
      </c>
      <c r="I832" t="str">
        <f>"081"</f>
        <v>081</v>
      </c>
      <c r="J832" t="str">
        <f t="shared" si="186"/>
        <v>N</v>
      </c>
    </row>
    <row r="833" spans="1:10">
      <c r="A833" t="str">
        <f>"1249FC04"</f>
        <v>1249FC04</v>
      </c>
      <c r="B833" t="str">
        <f t="shared" si="196"/>
        <v>ACT</v>
      </c>
      <c r="C833" t="str">
        <f>"16"</f>
        <v>16</v>
      </c>
      <c r="D833" t="str">
        <f t="shared" si="198"/>
        <v>NA</v>
      </c>
      <c r="E833" t="str">
        <f t="shared" si="198"/>
        <v>NA</v>
      </c>
      <c r="F833" t="str">
        <f t="shared" si="198"/>
        <v>NA</v>
      </c>
      <c r="G833" t="str">
        <f>"CERCA FRONTAL DECORATIVA"</f>
        <v>CERCA FRONTAL DECORATIVA</v>
      </c>
      <c r="H833" t="str">
        <f>"jmaldonado"</f>
        <v>jmaldonado</v>
      </c>
      <c r="I833" t="str">
        <f>"081"</f>
        <v>081</v>
      </c>
      <c r="J833" t="str">
        <f t="shared" si="186"/>
        <v>N</v>
      </c>
    </row>
    <row r="834" spans="1:10">
      <c r="A834" t="str">
        <f>"1306QA00"</f>
        <v>1306QA00</v>
      </c>
      <c r="B834" t="str">
        <f>"INACT"</f>
        <v>INACT</v>
      </c>
      <c r="C834" t="str">
        <f>"17"</f>
        <v>17</v>
      </c>
      <c r="D834" t="str">
        <f>"N/A"</f>
        <v>N/A</v>
      </c>
      <c r="E834" t="str">
        <f>"PCM500111200018"</f>
        <v>PCM500111200018</v>
      </c>
      <c r="F834" t="str">
        <f>"CM-500A"</f>
        <v>CM-500A</v>
      </c>
      <c r="G834" t="str">
        <f>"ESD MONITOR"</f>
        <v>ESD MONITOR</v>
      </c>
      <c r="H834" t="str">
        <f>"zfernandez"</f>
        <v>zfernandez</v>
      </c>
      <c r="I834" t="str">
        <f>"058"</f>
        <v>058</v>
      </c>
      <c r="J834" t="str">
        <f t="shared" si="186"/>
        <v>N</v>
      </c>
    </row>
    <row r="835" spans="1:10">
      <c r="A835" t="str">
        <f>"1306QA01"</f>
        <v>1306QA01</v>
      </c>
      <c r="B835" t="str">
        <f>"ACT"</f>
        <v>ACT</v>
      </c>
      <c r="C835" t="str">
        <f>"36"</f>
        <v>36</v>
      </c>
      <c r="D835" t="str">
        <f>"N/A"</f>
        <v>N/A</v>
      </c>
      <c r="E835" t="str">
        <f>"PCM500111200017"</f>
        <v>PCM500111200017</v>
      </c>
      <c r="F835" t="str">
        <f>"CM-500A"</f>
        <v>CM-500A</v>
      </c>
      <c r="G835" t="str">
        <f>"ESD CONSTANT MONITOR -EMPAQUE"</f>
        <v>ESD CONSTANT MONITOR -EMPAQUE</v>
      </c>
      <c r="H835" t="str">
        <f>"zfernandez"</f>
        <v>zfernandez</v>
      </c>
      <c r="I835" t="str">
        <f>"058"</f>
        <v>058</v>
      </c>
      <c r="J835" t="str">
        <f t="shared" si="186"/>
        <v>N</v>
      </c>
    </row>
    <row r="836" spans="1:10">
      <c r="A836" t="str">
        <f>"1306QA02"</f>
        <v>1306QA02</v>
      </c>
      <c r="B836" t="str">
        <f>"INACT"</f>
        <v>INACT</v>
      </c>
      <c r="C836" t="str">
        <f>"17"</f>
        <v>17</v>
      </c>
      <c r="D836" t="str">
        <f>"N/A"</f>
        <v>N/A</v>
      </c>
      <c r="E836" t="str">
        <f>"PCM50011120007"</f>
        <v>PCM50011120007</v>
      </c>
      <c r="F836" t="str">
        <f>"CM-500A"</f>
        <v>CM-500A</v>
      </c>
      <c r="G836" t="str">
        <f>"ESD CONSTANT MONITOR"</f>
        <v>ESD CONSTANT MONITOR</v>
      </c>
      <c r="H836" t="str">
        <f>"zfernandez"</f>
        <v>zfernandez</v>
      </c>
      <c r="I836" t="str">
        <f>"058"</f>
        <v>058</v>
      </c>
      <c r="J836" t="str">
        <f t="shared" si="186"/>
        <v>N</v>
      </c>
    </row>
    <row r="837" spans="1:10">
      <c r="A837" t="str">
        <f>"1306QA03"</f>
        <v>1306QA03</v>
      </c>
      <c r="B837" t="str">
        <f>"INACT"</f>
        <v>INACT</v>
      </c>
      <c r="C837" t="str">
        <f>"17"</f>
        <v>17</v>
      </c>
      <c r="D837" t="str">
        <f>"N/A"</f>
        <v>N/A</v>
      </c>
      <c r="E837" t="str">
        <f>"PCM500111200013"</f>
        <v>PCM500111200013</v>
      </c>
      <c r="F837" t="str">
        <f>"CM-500A"</f>
        <v>CM-500A</v>
      </c>
      <c r="G837" t="str">
        <f>"ESD CONSTANT MONITOR"</f>
        <v>ESD CONSTANT MONITOR</v>
      </c>
      <c r="H837" t="str">
        <f>"zfernandez"</f>
        <v>zfernandez</v>
      </c>
      <c r="I837" t="str">
        <f>"058"</f>
        <v>058</v>
      </c>
      <c r="J837" t="str">
        <f t="shared" si="186"/>
        <v>N</v>
      </c>
    </row>
    <row r="838" spans="1:10">
      <c r="A838" t="str">
        <f>"0734TO01"</f>
        <v>0734TO01</v>
      </c>
      <c r="B838" t="str">
        <f>"INACT"</f>
        <v>INACT</v>
      </c>
      <c r="C838" t="str">
        <f>"19"</f>
        <v>19</v>
      </c>
      <c r="D838" t="str">
        <f>"N/A"</f>
        <v>N/A</v>
      </c>
      <c r="E838" t="str">
        <f>"PCM5106049"</f>
        <v>PCM5106049</v>
      </c>
      <c r="F838" t="str">
        <f>"CM-500"</f>
        <v>CM-500</v>
      </c>
      <c r="G838" t="str">
        <f>"ESD CONSTANT MONITOR"</f>
        <v>ESD CONSTANT MONITOR</v>
      </c>
      <c r="H838" t="str">
        <f>"zfernandez"</f>
        <v>zfernandez</v>
      </c>
      <c r="I838" t="str">
        <f>"058"</f>
        <v>058</v>
      </c>
      <c r="J838" t="str">
        <f t="shared" si="186"/>
        <v>N</v>
      </c>
    </row>
    <row r="839" spans="1:10">
      <c r="A839" t="str">
        <f>"0737OS00"</f>
        <v>0737OS00</v>
      </c>
      <c r="B839" t="str">
        <f>"ACT"</f>
        <v>ACT</v>
      </c>
      <c r="C839" t="str">
        <f>"09"</f>
        <v>09</v>
      </c>
      <c r="D839" t="str">
        <f>"TQP23051"</f>
        <v>TQP23051</v>
      </c>
      <c r="E839" t="str">
        <f>"AB18630"</f>
        <v>AB18630</v>
      </c>
      <c r="F839" t="str">
        <f>"DMM2150"</f>
        <v>DMM2150</v>
      </c>
      <c r="G839" t="str">
        <f>"CYBOND # 8"</f>
        <v>CYBOND # 8</v>
      </c>
      <c r="H839" t="str">
        <f>"garaiza"</f>
        <v>garaiza</v>
      </c>
      <c r="I839" t="str">
        <f>"023"</f>
        <v>023</v>
      </c>
      <c r="J839" t="str">
        <f t="shared" ref="J839:J902" si="199">"N"</f>
        <v>N</v>
      </c>
    </row>
    <row r="840" spans="1:10">
      <c r="A840" t="str">
        <f>"LE-001-04961"</f>
        <v>LE-001-04961</v>
      </c>
      <c r="B840" t="str">
        <f>"ACT"</f>
        <v>ACT</v>
      </c>
      <c r="C840" t="str">
        <f>"13"</f>
        <v>13</v>
      </c>
      <c r="D840" t="str">
        <f>"N/A"</f>
        <v>N/A</v>
      </c>
      <c r="E840" t="str">
        <f>"N/A"</f>
        <v>N/A</v>
      </c>
      <c r="F840" t="str">
        <f>"N/A"</f>
        <v>N/A</v>
      </c>
      <c r="G840" t="str">
        <f>"SISTEMA DE PRUEBA EML TRS  OSA  # 8"</f>
        <v>SISTEMA DE PRUEBA EML TRS  OSA  # 8</v>
      </c>
      <c r="H840" t="str">
        <f>"jmarmolejo"</f>
        <v>jmarmolejo</v>
      </c>
      <c r="I840" t="str">
        <f>"046"</f>
        <v>046</v>
      </c>
      <c r="J840" t="str">
        <f t="shared" si="199"/>
        <v>N</v>
      </c>
    </row>
    <row r="841" spans="1:10">
      <c r="A841" t="str">
        <f>"LE-001-04962"</f>
        <v>LE-001-04962</v>
      </c>
      <c r="B841" t="str">
        <f>"ACT"</f>
        <v>ACT</v>
      </c>
      <c r="C841" t="str">
        <f>"13"</f>
        <v>13</v>
      </c>
      <c r="D841" t="str">
        <f>"TQP01858"</f>
        <v>TQP01858</v>
      </c>
      <c r="E841" t="str">
        <f>"N/A"</f>
        <v>N/A</v>
      </c>
      <c r="F841" t="str">
        <f>"N/A"</f>
        <v>N/A</v>
      </c>
      <c r="G841" t="str">
        <f>"TRS OSA #9"</f>
        <v>TRS OSA #9</v>
      </c>
      <c r="H841" t="str">
        <f>"jmarmolejo"</f>
        <v>jmarmolejo</v>
      </c>
      <c r="I841" t="str">
        <f>"046"</f>
        <v>046</v>
      </c>
      <c r="J841" t="str">
        <f t="shared" si="199"/>
        <v>N</v>
      </c>
    </row>
    <row r="842" spans="1:10">
      <c r="A842" t="str">
        <f>"LE-001-04967"</f>
        <v>LE-001-04967</v>
      </c>
      <c r="B842" t="str">
        <f>"ACT"</f>
        <v>ACT</v>
      </c>
      <c r="C842" t="str">
        <f>"13"</f>
        <v>13</v>
      </c>
      <c r="D842" t="str">
        <f>"TQP09524"</f>
        <v>TQP09524</v>
      </c>
      <c r="E842" t="str">
        <f>"N/A"</f>
        <v>N/A</v>
      </c>
      <c r="F842" t="str">
        <f>"N/A"</f>
        <v>N/A</v>
      </c>
      <c r="G842" t="str">
        <f>"OSA TRS#6"</f>
        <v>OSA TRS#6</v>
      </c>
      <c r="H842" t="str">
        <f>"jmarmolejo"</f>
        <v>jmarmolejo</v>
      </c>
      <c r="I842" t="str">
        <f>"046"</f>
        <v>046</v>
      </c>
      <c r="J842" t="str">
        <f t="shared" si="199"/>
        <v>N</v>
      </c>
    </row>
    <row r="843" spans="1:10">
      <c r="A843" t="str">
        <f>"1028EN01"</f>
        <v>1028EN01</v>
      </c>
      <c r="B843" t="str">
        <f>"INACT"</f>
        <v>INACT</v>
      </c>
      <c r="C843" t="str">
        <f>"19"</f>
        <v>19</v>
      </c>
      <c r="D843" t="str">
        <f>"N/A"</f>
        <v>N/A</v>
      </c>
      <c r="E843" t="str">
        <f>"CML-1100185"</f>
        <v>CML-1100185</v>
      </c>
      <c r="F843" t="str">
        <f>"CM-500"</f>
        <v>CM-500</v>
      </c>
      <c r="G843" t="str">
        <f>"ESD CONSTANT MONITOR"</f>
        <v>ESD CONSTANT MONITOR</v>
      </c>
      <c r="H843" t="str">
        <f>"zfernandez"</f>
        <v>zfernandez</v>
      </c>
      <c r="I843" t="str">
        <f>"058"</f>
        <v>058</v>
      </c>
      <c r="J843" t="str">
        <f t="shared" si="199"/>
        <v>N</v>
      </c>
    </row>
    <row r="844" spans="1:10">
      <c r="A844" t="str">
        <f>"1135FG02"</f>
        <v>1135FG02</v>
      </c>
      <c r="B844" t="str">
        <f>"INACT"</f>
        <v>INACT</v>
      </c>
      <c r="C844" t="str">
        <f>"35"</f>
        <v>35</v>
      </c>
      <c r="D844" t="str">
        <f>"N/A"</f>
        <v>N/A</v>
      </c>
      <c r="E844" t="str">
        <f>"N/A"</f>
        <v>N/A</v>
      </c>
      <c r="F844" t="str">
        <f>"N/A"</f>
        <v>N/A</v>
      </c>
      <c r="G844" t="str">
        <f>"RECOPILACION DE  LOS  PROOF DELIVERIES"</f>
        <v>RECOPILACION DE  LOS  PROOF DELIVERIES</v>
      </c>
      <c r="H844" t="str">
        <f>"cfararoni"</f>
        <v>cfararoni</v>
      </c>
      <c r="I844" t="str">
        <f>"081"</f>
        <v>081</v>
      </c>
      <c r="J844" t="str">
        <f t="shared" si="199"/>
        <v>N</v>
      </c>
    </row>
    <row r="845" spans="1:10">
      <c r="A845" t="str">
        <f>"0834FC00"</f>
        <v>0834FC00</v>
      </c>
      <c r="B845" t="str">
        <f>"ACT"</f>
        <v>ACT</v>
      </c>
      <c r="C845" t="str">
        <f>"16"</f>
        <v>16</v>
      </c>
      <c r="D845" t="str">
        <f>"TQP20882"</f>
        <v>TQP20882</v>
      </c>
      <c r="E845" t="str">
        <f>"3794-98"</f>
        <v>3794-98</v>
      </c>
      <c r="F845" t="str">
        <f>"TRO-200-1A"</f>
        <v>TRO-200-1A</v>
      </c>
      <c r="G845" t="str">
        <f>"BOMBA DE VACIO TRAVANI  #03"</f>
        <v>BOMBA DE VACIO TRAVANI  #03</v>
      </c>
      <c r="H845" t="str">
        <f>"jmaldonado"</f>
        <v>jmaldonado</v>
      </c>
      <c r="I845" t="str">
        <f>"092"</f>
        <v>092</v>
      </c>
      <c r="J845" t="str">
        <f t="shared" si="199"/>
        <v>N</v>
      </c>
    </row>
    <row r="846" spans="1:10">
      <c r="A846" t="str">
        <f>"1049FC00"</f>
        <v>1049FC00</v>
      </c>
      <c r="B846" t="str">
        <f>"ACT"</f>
        <v>ACT</v>
      </c>
      <c r="C846" t="str">
        <f>"16"</f>
        <v>16</v>
      </c>
      <c r="D846" t="str">
        <f t="shared" ref="D846:F847" si="200">"N/A"</f>
        <v>N/A</v>
      </c>
      <c r="E846" t="str">
        <f t="shared" si="200"/>
        <v>N/A</v>
      </c>
      <c r="F846" t="str">
        <f t="shared" si="200"/>
        <v>N/A</v>
      </c>
      <c r="G846" t="str">
        <f>"SISTEMA DE RED  DE TIERRAS Y  PARA RAYOS"</f>
        <v>SISTEMA DE RED  DE TIERRAS Y  PARA RAYOS</v>
      </c>
      <c r="H846" t="str">
        <f>"jmaldonado"</f>
        <v>jmaldonado</v>
      </c>
      <c r="I846" t="str">
        <f>"081"</f>
        <v>081</v>
      </c>
      <c r="J846" t="str">
        <f t="shared" si="199"/>
        <v>N</v>
      </c>
    </row>
    <row r="847" spans="1:10">
      <c r="A847" t="str">
        <f>"1049FC01"</f>
        <v>1049FC01</v>
      </c>
      <c r="B847" t="str">
        <f>"ACT"</f>
        <v>ACT</v>
      </c>
      <c r="C847" t="str">
        <f>"16"</f>
        <v>16</v>
      </c>
      <c r="D847" t="str">
        <f t="shared" si="200"/>
        <v>N/A</v>
      </c>
      <c r="E847" t="str">
        <f t="shared" si="200"/>
        <v>N/A</v>
      </c>
      <c r="F847" t="str">
        <f t="shared" si="200"/>
        <v>N/A</v>
      </c>
      <c r="G847" t="str">
        <f>"SISTEMA DE  IONIZACION DEL AGUA"</f>
        <v>SISTEMA DE  IONIZACION DEL AGUA</v>
      </c>
      <c r="H847" t="str">
        <f>"jmaldonado"</f>
        <v>jmaldonado</v>
      </c>
      <c r="I847" t="str">
        <f>"081"</f>
        <v>081</v>
      </c>
      <c r="J847" t="str">
        <f t="shared" si="199"/>
        <v>N</v>
      </c>
    </row>
    <row r="848" spans="1:10">
      <c r="A848" t="str">
        <f>"LE-010-24185"</f>
        <v>LE-010-24185</v>
      </c>
      <c r="B848" t="str">
        <f>"INACT"</f>
        <v>INACT</v>
      </c>
      <c r="C848" t="str">
        <f>"16"</f>
        <v>16</v>
      </c>
      <c r="D848" t="str">
        <f>"TQP14390"</f>
        <v>TQP14390</v>
      </c>
      <c r="E848" t="str">
        <f>"331546-002"</f>
        <v>331546-002</v>
      </c>
      <c r="F848" t="str">
        <f>"UH199A-ASM"</f>
        <v>UH199A-ASM</v>
      </c>
      <c r="G848" t="str">
        <f>"CONDENSER ""G"""</f>
        <v>CONDENSER "G"</v>
      </c>
      <c r="H848" t="str">
        <f>"jmaldonado"</f>
        <v>jmaldonado</v>
      </c>
      <c r="I848" t="str">
        <f>"045"</f>
        <v>045</v>
      </c>
      <c r="J848" t="str">
        <f t="shared" si="199"/>
        <v>N</v>
      </c>
    </row>
    <row r="849" spans="1:10">
      <c r="A849" t="str">
        <f>"LE-079-00394"</f>
        <v>LE-079-00394</v>
      </c>
      <c r="B849" t="str">
        <f t="shared" ref="B849:B879" si="201">"ACT"</f>
        <v>ACT</v>
      </c>
      <c r="C849" t="str">
        <f>"36"</f>
        <v>36</v>
      </c>
      <c r="D849" t="str">
        <f>"TQP22529"</f>
        <v>TQP22529</v>
      </c>
      <c r="E849" t="str">
        <f>"990556"</f>
        <v>990556</v>
      </c>
      <c r="F849" t="str">
        <f>"FX-5050"</f>
        <v>FX-5050</v>
      </c>
      <c r="G849" t="str">
        <f>"LASER WELDER  ALIGNMENT  # 07"</f>
        <v>LASER WELDER  ALIGNMENT  # 07</v>
      </c>
      <c r="H849" t="str">
        <f>"gramirez"</f>
        <v>gramirez</v>
      </c>
      <c r="I849" t="str">
        <f>"078"</f>
        <v>078</v>
      </c>
      <c r="J849" t="str">
        <f t="shared" si="199"/>
        <v>N</v>
      </c>
    </row>
    <row r="850" spans="1:10">
      <c r="A850" t="str">
        <f>"1306LR01"</f>
        <v>1306LR01</v>
      </c>
      <c r="B850" t="str">
        <f t="shared" si="201"/>
        <v>ACT</v>
      </c>
      <c r="C850" t="str">
        <f>"42"</f>
        <v>42</v>
      </c>
      <c r="D850" t="str">
        <f>"TQP21099"</f>
        <v>TQP21099</v>
      </c>
      <c r="E850" t="str">
        <f t="shared" ref="E850:F856" si="202">"N/A"</f>
        <v>N/A</v>
      </c>
      <c r="F850" t="str">
        <f t="shared" si="202"/>
        <v>N/A</v>
      </c>
      <c r="G850" t="str">
        <f>"TEST SET  MTLI LR4-TOSA #01"</f>
        <v>TEST SET  MTLI LR4-TOSA #01</v>
      </c>
      <c r="H850" t="str">
        <f>"zfernandez"</f>
        <v>zfernandez</v>
      </c>
      <c r="I850" t="str">
        <f t="shared" ref="I850:I856" si="203">"081"</f>
        <v>081</v>
      </c>
      <c r="J850" t="str">
        <f t="shared" si="199"/>
        <v>N</v>
      </c>
    </row>
    <row r="851" spans="1:10">
      <c r="A851" t="str">
        <f>"1306LR02"</f>
        <v>1306LR02</v>
      </c>
      <c r="B851" t="str">
        <f t="shared" si="201"/>
        <v>ACT</v>
      </c>
      <c r="C851" t="str">
        <f>"42"</f>
        <v>42</v>
      </c>
      <c r="D851" t="str">
        <f>"TQP17649"</f>
        <v>TQP17649</v>
      </c>
      <c r="E851" t="str">
        <f t="shared" si="202"/>
        <v>N/A</v>
      </c>
      <c r="F851" t="str">
        <f t="shared" si="202"/>
        <v>N/A</v>
      </c>
      <c r="G851" t="str">
        <f>"TEST SET  MTLI LR4-TOSA  #02"</f>
        <v>TEST SET  MTLI LR4-TOSA  #02</v>
      </c>
      <c r="H851" t="str">
        <f>"zfernandez"</f>
        <v>zfernandez</v>
      </c>
      <c r="I851" t="str">
        <f t="shared" si="203"/>
        <v>081</v>
      </c>
      <c r="J851" t="str">
        <f t="shared" si="199"/>
        <v>N</v>
      </c>
    </row>
    <row r="852" spans="1:10">
      <c r="A852" t="str">
        <f>"1306LR03"</f>
        <v>1306LR03</v>
      </c>
      <c r="B852" t="str">
        <f t="shared" si="201"/>
        <v>ACT</v>
      </c>
      <c r="C852" t="str">
        <f>"36"</f>
        <v>36</v>
      </c>
      <c r="D852" t="str">
        <f>"TQP21097"</f>
        <v>TQP21097</v>
      </c>
      <c r="E852" t="str">
        <f t="shared" si="202"/>
        <v>N/A</v>
      </c>
      <c r="F852" t="str">
        <f t="shared" si="202"/>
        <v>N/A</v>
      </c>
      <c r="G852" t="str">
        <f>"TEST SET  FUNCTIONAL  LR4-TOSA #01"</f>
        <v>TEST SET  FUNCTIONAL  LR4-TOSA #01</v>
      </c>
      <c r="H852" t="str">
        <f>"zfernandez"</f>
        <v>zfernandez</v>
      </c>
      <c r="I852" t="str">
        <f t="shared" si="203"/>
        <v>081</v>
      </c>
      <c r="J852" t="str">
        <f t="shared" si="199"/>
        <v>N</v>
      </c>
    </row>
    <row r="853" spans="1:10">
      <c r="A853" t="str">
        <f>"1306LR04"</f>
        <v>1306LR04</v>
      </c>
      <c r="B853" t="str">
        <f t="shared" si="201"/>
        <v>ACT</v>
      </c>
      <c r="C853" t="str">
        <f>"36"</f>
        <v>36</v>
      </c>
      <c r="D853" t="str">
        <f>"TQP21096"</f>
        <v>TQP21096</v>
      </c>
      <c r="E853" t="str">
        <f t="shared" si="202"/>
        <v>N/A</v>
      </c>
      <c r="F853" t="str">
        <f t="shared" si="202"/>
        <v>N/A</v>
      </c>
      <c r="G853" t="str">
        <f>"TEST SET LR4-ROSA FUCTIONAL #1"</f>
        <v>TEST SET LR4-ROSA FUCTIONAL #1</v>
      </c>
      <c r="H853" t="str">
        <f>"zfernandez"</f>
        <v>zfernandez</v>
      </c>
      <c r="I853" t="str">
        <f t="shared" si="203"/>
        <v>081</v>
      </c>
      <c r="J853" t="str">
        <f t="shared" si="199"/>
        <v>N</v>
      </c>
    </row>
    <row r="854" spans="1:10">
      <c r="A854" t="str">
        <f>"1306LR05"</f>
        <v>1306LR05</v>
      </c>
      <c r="B854" t="str">
        <f t="shared" si="201"/>
        <v>ACT</v>
      </c>
      <c r="C854" t="str">
        <f>"36"</f>
        <v>36</v>
      </c>
      <c r="D854" t="str">
        <f>"TQP17650"</f>
        <v>TQP17650</v>
      </c>
      <c r="E854" t="str">
        <f t="shared" si="202"/>
        <v>N/A</v>
      </c>
      <c r="F854" t="str">
        <f t="shared" si="202"/>
        <v>N/A</v>
      </c>
      <c r="G854" t="str">
        <f>"LR4-ROSA FUCTIONAL #2"</f>
        <v>LR4-ROSA FUCTIONAL #2</v>
      </c>
      <c r="H854" t="str">
        <f>"zfernandez"</f>
        <v>zfernandez</v>
      </c>
      <c r="I854" t="str">
        <f t="shared" si="203"/>
        <v>081</v>
      </c>
      <c r="J854" t="str">
        <f t="shared" si="199"/>
        <v>N</v>
      </c>
    </row>
    <row r="855" spans="1:10">
      <c r="A855" t="str">
        <f>"1309EN01"</f>
        <v>1309EN01</v>
      </c>
      <c r="B855" t="str">
        <f t="shared" si="201"/>
        <v>ACT</v>
      </c>
      <c r="C855" t="str">
        <f>"09"</f>
        <v>09</v>
      </c>
      <c r="D855" t="str">
        <f t="shared" ref="D855:D860" si="204">"N/A"</f>
        <v>N/A</v>
      </c>
      <c r="E855" t="str">
        <f t="shared" si="202"/>
        <v>N/A</v>
      </c>
      <c r="F855" t="str">
        <f t="shared" si="202"/>
        <v>N/A</v>
      </c>
      <c r="G855" t="str">
        <f>"MSA WELDING NEST AOI# 2"</f>
        <v>MSA WELDING NEST AOI# 2</v>
      </c>
      <c r="H855" t="str">
        <f>"ecerda"</f>
        <v>ecerda</v>
      </c>
      <c r="I855" t="str">
        <f t="shared" si="203"/>
        <v>081</v>
      </c>
      <c r="J855" t="str">
        <f t="shared" si="199"/>
        <v>N</v>
      </c>
    </row>
    <row r="856" spans="1:10">
      <c r="A856" t="str">
        <f>"1309EN02"</f>
        <v>1309EN02</v>
      </c>
      <c r="B856" t="str">
        <f t="shared" si="201"/>
        <v>ACT</v>
      </c>
      <c r="C856" t="str">
        <f>"09"</f>
        <v>09</v>
      </c>
      <c r="D856" t="str">
        <f t="shared" si="204"/>
        <v>N/A</v>
      </c>
      <c r="E856" t="str">
        <f t="shared" si="202"/>
        <v>N/A</v>
      </c>
      <c r="F856" t="str">
        <f t="shared" si="202"/>
        <v>N/A</v>
      </c>
      <c r="G856" t="str">
        <f>"MSA WELDING NEST AOI # 5"</f>
        <v>MSA WELDING NEST AOI # 5</v>
      </c>
      <c r="H856" t="str">
        <f>"ecerda"</f>
        <v>ecerda</v>
      </c>
      <c r="I856" t="str">
        <f t="shared" si="203"/>
        <v>081</v>
      </c>
      <c r="J856" t="str">
        <f t="shared" si="199"/>
        <v>N</v>
      </c>
    </row>
    <row r="857" spans="1:10">
      <c r="A857" t="str">
        <f>"1052FC00"</f>
        <v>1052FC00</v>
      </c>
      <c r="B857" t="str">
        <f t="shared" si="201"/>
        <v>ACT</v>
      </c>
      <c r="C857" t="str">
        <f>"16"</f>
        <v>16</v>
      </c>
      <c r="D857" t="str">
        <f t="shared" si="204"/>
        <v>N/A</v>
      </c>
      <c r="E857" t="str">
        <f>"C11E8E0128"</f>
        <v>C11E8E0128</v>
      </c>
      <c r="F857" t="str">
        <f>"VS105AUA0EI525A"</f>
        <v>VS105AUA0EI525A</v>
      </c>
      <c r="G857" t="str">
        <f>"AIR HANDLER (DML/EML)"</f>
        <v>AIR HANDLER (DML/EML)</v>
      </c>
      <c r="H857" t="str">
        <f>"jmaldonado"</f>
        <v>jmaldonado</v>
      </c>
      <c r="I857" t="str">
        <f>"045"</f>
        <v>045</v>
      </c>
      <c r="J857" t="str">
        <f t="shared" si="199"/>
        <v>N</v>
      </c>
    </row>
    <row r="858" spans="1:10">
      <c r="A858" t="str">
        <f>"1052FC01"</f>
        <v>1052FC01</v>
      </c>
      <c r="B858" t="str">
        <f t="shared" si="201"/>
        <v>ACT</v>
      </c>
      <c r="C858" t="str">
        <f>"16"</f>
        <v>16</v>
      </c>
      <c r="D858" t="str">
        <f t="shared" si="204"/>
        <v>N/A</v>
      </c>
      <c r="E858" t="str">
        <f>"C11E8E0127"</f>
        <v>C11E8E0127</v>
      </c>
      <c r="F858" t="str">
        <f>"VS105AUA0EI525A"</f>
        <v>VS105AUA0EI525A</v>
      </c>
      <c r="G858" t="str">
        <f>"AIR HANDLER  (OSAS)"</f>
        <v>AIR HANDLER  (OSAS)</v>
      </c>
      <c r="H858" t="str">
        <f>"jmaldonado"</f>
        <v>jmaldonado</v>
      </c>
      <c r="I858" t="str">
        <f>"045"</f>
        <v>045</v>
      </c>
      <c r="J858" t="str">
        <f t="shared" si="199"/>
        <v>N</v>
      </c>
    </row>
    <row r="859" spans="1:10">
      <c r="A859" t="str">
        <f>"1309FC00"</f>
        <v>1309FC00</v>
      </c>
      <c r="B859" t="str">
        <f t="shared" si="201"/>
        <v>ACT</v>
      </c>
      <c r="C859" t="str">
        <f>"16"</f>
        <v>16</v>
      </c>
      <c r="D859" t="str">
        <f t="shared" si="204"/>
        <v>N/A</v>
      </c>
      <c r="E859" t="str">
        <f>"C95908"</f>
        <v>C95908</v>
      </c>
      <c r="F859" t="str">
        <f>"IA11/2-71/2-2"</f>
        <v>IA11/2-71/2-2</v>
      </c>
      <c r="G859" t="str">
        <f>"WATER PUMP  CHILLER#1"</f>
        <v>WATER PUMP  CHILLER#1</v>
      </c>
      <c r="H859" t="str">
        <f>"caramirez"</f>
        <v>caramirez</v>
      </c>
      <c r="I859" t="str">
        <f>"106"</f>
        <v>106</v>
      </c>
      <c r="J859" t="str">
        <f t="shared" si="199"/>
        <v>N</v>
      </c>
    </row>
    <row r="860" spans="1:10">
      <c r="A860" t="str">
        <f>"1320LR01"</f>
        <v>1320LR01</v>
      </c>
      <c r="B860" t="str">
        <f t="shared" si="201"/>
        <v>ACT</v>
      </c>
      <c r="C860" t="str">
        <f>"36"</f>
        <v>36</v>
      </c>
      <c r="D860" t="str">
        <f t="shared" si="204"/>
        <v>N/A</v>
      </c>
      <c r="E860" t="str">
        <f>"PCM5106035"</f>
        <v>PCM5106035</v>
      </c>
      <c r="F860" t="str">
        <f>"CM-500"</f>
        <v>CM-500</v>
      </c>
      <c r="G860" t="str">
        <f>"ESD CONSTANT MONITOR"</f>
        <v>ESD CONSTANT MONITOR</v>
      </c>
      <c r="H860" t="str">
        <f>"zfernandez"</f>
        <v>zfernandez</v>
      </c>
      <c r="I860" t="str">
        <f>"058"</f>
        <v>058</v>
      </c>
      <c r="J860" t="str">
        <f t="shared" si="199"/>
        <v>N</v>
      </c>
    </row>
    <row r="861" spans="1:10">
      <c r="A861" t="str">
        <f>"1325LR00"</f>
        <v>1325LR00</v>
      </c>
      <c r="B861" t="str">
        <f t="shared" si="201"/>
        <v>ACT</v>
      </c>
      <c r="C861" t="str">
        <f>"43"</f>
        <v>43</v>
      </c>
      <c r="D861" t="str">
        <f>"TQP17676"</f>
        <v>TQP17676</v>
      </c>
      <c r="E861" t="str">
        <f>"1333581"</f>
        <v>1333581</v>
      </c>
      <c r="F861" t="str">
        <f t="shared" ref="F861:F868" si="205">"IG-25-2-M"</f>
        <v>IG-25-2-M</v>
      </c>
      <c r="G861" t="str">
        <f>"CYBOND #46"</f>
        <v>CYBOND #46</v>
      </c>
      <c r="H861" t="str">
        <f t="shared" ref="H861:H868" si="206">"vvazquez"</f>
        <v>vvazquez</v>
      </c>
      <c r="I861" t="str">
        <f t="shared" ref="I861:I868" si="207">"051"</f>
        <v>051</v>
      </c>
      <c r="J861" t="str">
        <f t="shared" si="199"/>
        <v>N</v>
      </c>
    </row>
    <row r="862" spans="1:10">
      <c r="A862" t="str">
        <f>"1325LR01"</f>
        <v>1325LR01</v>
      </c>
      <c r="B862" t="str">
        <f t="shared" si="201"/>
        <v>ACT</v>
      </c>
      <c r="C862" t="str">
        <f>"43"</f>
        <v>43</v>
      </c>
      <c r="D862" t="str">
        <f>"TQP18423"</f>
        <v>TQP18423</v>
      </c>
      <c r="E862" t="str">
        <f>"1333582"</f>
        <v>1333582</v>
      </c>
      <c r="F862" t="str">
        <f t="shared" si="205"/>
        <v>IG-25-2-M</v>
      </c>
      <c r="G862" t="str">
        <f>"CYBOND #48"</f>
        <v>CYBOND #48</v>
      </c>
      <c r="H862" t="str">
        <f t="shared" si="206"/>
        <v>vvazquez</v>
      </c>
      <c r="I862" t="str">
        <f t="shared" si="207"/>
        <v>051</v>
      </c>
      <c r="J862" t="str">
        <f t="shared" si="199"/>
        <v>N</v>
      </c>
    </row>
    <row r="863" spans="1:10">
      <c r="A863" t="str">
        <f>"1325LR03"</f>
        <v>1325LR03</v>
      </c>
      <c r="B863" t="str">
        <f t="shared" si="201"/>
        <v>ACT</v>
      </c>
      <c r="C863" t="str">
        <f>"43"</f>
        <v>43</v>
      </c>
      <c r="D863" t="str">
        <f>"TQP17677"</f>
        <v>TQP17677</v>
      </c>
      <c r="E863" t="str">
        <f>"1333585"</f>
        <v>1333585</v>
      </c>
      <c r="F863" t="str">
        <f t="shared" si="205"/>
        <v>IG-25-2-M</v>
      </c>
      <c r="G863" t="str">
        <f>"CYBOND # 47"</f>
        <v>CYBOND # 47</v>
      </c>
      <c r="H863" t="str">
        <f t="shared" si="206"/>
        <v>vvazquez</v>
      </c>
      <c r="I863" t="str">
        <f t="shared" si="207"/>
        <v>051</v>
      </c>
      <c r="J863" t="str">
        <f t="shared" si="199"/>
        <v>N</v>
      </c>
    </row>
    <row r="864" spans="1:10">
      <c r="A864" t="str">
        <f>"1325LR04"</f>
        <v>1325LR04</v>
      </c>
      <c r="B864" t="str">
        <f t="shared" si="201"/>
        <v>ACT</v>
      </c>
      <c r="C864" t="str">
        <f>"43"</f>
        <v>43</v>
      </c>
      <c r="D864" t="str">
        <f>"TQP17680"</f>
        <v>TQP17680</v>
      </c>
      <c r="E864" t="str">
        <f>"1403332"</f>
        <v>1403332</v>
      </c>
      <c r="F864" t="str">
        <f t="shared" si="205"/>
        <v>IG-25-2-M</v>
      </c>
      <c r="G864" t="str">
        <f>"CYBOND # 53"</f>
        <v>CYBOND # 53</v>
      </c>
      <c r="H864" t="str">
        <f t="shared" si="206"/>
        <v>vvazquez</v>
      </c>
      <c r="I864" t="str">
        <f t="shared" si="207"/>
        <v>051</v>
      </c>
      <c r="J864" t="str">
        <f t="shared" si="199"/>
        <v>N</v>
      </c>
    </row>
    <row r="865" spans="1:10">
      <c r="A865" t="str">
        <f>"1325LR05"</f>
        <v>1325LR05</v>
      </c>
      <c r="B865" t="str">
        <f t="shared" si="201"/>
        <v>ACT</v>
      </c>
      <c r="C865" t="str">
        <f>"43"</f>
        <v>43</v>
      </c>
      <c r="D865" t="str">
        <f>"TQP17660"</f>
        <v>TQP17660</v>
      </c>
      <c r="E865" t="str">
        <f>"1403339"</f>
        <v>1403339</v>
      </c>
      <c r="F865" t="str">
        <f t="shared" si="205"/>
        <v>IG-25-2-M</v>
      </c>
      <c r="G865" t="str">
        <f>"CYBOND #54"</f>
        <v>CYBOND #54</v>
      </c>
      <c r="H865" t="str">
        <f t="shared" si="206"/>
        <v>vvazquez</v>
      </c>
      <c r="I865" t="str">
        <f t="shared" si="207"/>
        <v>051</v>
      </c>
      <c r="J865" t="str">
        <f t="shared" si="199"/>
        <v>N</v>
      </c>
    </row>
    <row r="866" spans="1:10">
      <c r="A866" t="str">
        <f>"1325OS00"</f>
        <v>1325OS00</v>
      </c>
      <c r="B866" t="str">
        <f t="shared" si="201"/>
        <v>ACT</v>
      </c>
      <c r="C866" t="str">
        <f>"13"</f>
        <v>13</v>
      </c>
      <c r="D866" t="str">
        <f>"TQP17648"</f>
        <v>TQP17648</v>
      </c>
      <c r="E866" t="str">
        <f>"1403330"</f>
        <v>1403330</v>
      </c>
      <c r="F866" t="str">
        <f t="shared" si="205"/>
        <v>IG-25-2-M</v>
      </c>
      <c r="G866" t="str">
        <f>"CYBOND #20"</f>
        <v>CYBOND #20</v>
      </c>
      <c r="H866" t="str">
        <f t="shared" si="206"/>
        <v>vvazquez</v>
      </c>
      <c r="I866" t="str">
        <f t="shared" si="207"/>
        <v>051</v>
      </c>
      <c r="J866" t="str">
        <f t="shared" si="199"/>
        <v>N</v>
      </c>
    </row>
    <row r="867" spans="1:10">
      <c r="A867" t="str">
        <f>"1325OS01"</f>
        <v>1325OS01</v>
      </c>
      <c r="B867" t="str">
        <f t="shared" si="201"/>
        <v>ACT</v>
      </c>
      <c r="C867" t="str">
        <f>"13"</f>
        <v>13</v>
      </c>
      <c r="D867" t="str">
        <f>"TQP12551"</f>
        <v>TQP12551</v>
      </c>
      <c r="E867" t="str">
        <f>"1403338"</f>
        <v>1403338</v>
      </c>
      <c r="F867" t="str">
        <f t="shared" si="205"/>
        <v>IG-25-2-M</v>
      </c>
      <c r="G867" t="str">
        <f>"CYBOND #19"</f>
        <v>CYBOND #19</v>
      </c>
      <c r="H867" t="str">
        <f t="shared" si="206"/>
        <v>vvazquez</v>
      </c>
      <c r="I867" t="str">
        <f t="shared" si="207"/>
        <v>051</v>
      </c>
      <c r="J867" t="str">
        <f t="shared" si="199"/>
        <v>N</v>
      </c>
    </row>
    <row r="868" spans="1:10">
      <c r="A868" t="str">
        <f>"1325OS02"</f>
        <v>1325OS02</v>
      </c>
      <c r="B868" t="str">
        <f t="shared" si="201"/>
        <v>ACT</v>
      </c>
      <c r="C868" t="str">
        <f>"13"</f>
        <v>13</v>
      </c>
      <c r="D868" t="str">
        <f>"N/A"</f>
        <v>N/A</v>
      </c>
      <c r="E868" t="str">
        <f>"1333587"</f>
        <v>1333587</v>
      </c>
      <c r="F868" t="str">
        <f t="shared" si="205"/>
        <v>IG-25-2-M</v>
      </c>
      <c r="G868" t="str">
        <f>"CYBOND #13"</f>
        <v>CYBOND #13</v>
      </c>
      <c r="H868" t="str">
        <f t="shared" si="206"/>
        <v>vvazquez</v>
      </c>
      <c r="I868" t="str">
        <f t="shared" si="207"/>
        <v>051</v>
      </c>
      <c r="J868" t="str">
        <f t="shared" si="199"/>
        <v>N</v>
      </c>
    </row>
    <row r="869" spans="1:10">
      <c r="A869" t="str">
        <f>"1314QP00"</f>
        <v>1314QP00</v>
      </c>
      <c r="B869" t="str">
        <f t="shared" si="201"/>
        <v>ACT</v>
      </c>
      <c r="C869" t="str">
        <f>"36"</f>
        <v>36</v>
      </c>
      <c r="D869" t="str">
        <f>"TQP17049"</f>
        <v>TQP17049</v>
      </c>
      <c r="E869" t="str">
        <f>"306872"</f>
        <v>306872</v>
      </c>
      <c r="F869" t="str">
        <f>"ESEC3088"</f>
        <v>ESEC3088</v>
      </c>
      <c r="G869" t="str">
        <f>"WIRE BOND"</f>
        <v>WIRE BOND</v>
      </c>
      <c r="H869" t="str">
        <f>"rramones"</f>
        <v>rramones</v>
      </c>
      <c r="I869" t="str">
        <f>"027"</f>
        <v>027</v>
      </c>
      <c r="J869" t="str">
        <f t="shared" si="199"/>
        <v>N</v>
      </c>
    </row>
    <row r="870" spans="1:10">
      <c r="A870" t="str">
        <f>"LE-009-00694"</f>
        <v>LE-009-00694</v>
      </c>
      <c r="B870" t="str">
        <f t="shared" si="201"/>
        <v>ACT</v>
      </c>
      <c r="C870" t="str">
        <f>"04"</f>
        <v>04</v>
      </c>
      <c r="D870" t="str">
        <f>"TQP01963"</f>
        <v>TQP01963</v>
      </c>
      <c r="E870" t="str">
        <f>"9995/0110"</f>
        <v>9995/0110</v>
      </c>
      <c r="F870" t="str">
        <f>"LFC-150"</f>
        <v>LFC-150</v>
      </c>
      <c r="G870" t="str">
        <f>"MAQUINA DE PLASMA CLEANER"</f>
        <v>MAQUINA DE PLASMA CLEANER</v>
      </c>
      <c r="H870" t="str">
        <f>"vvazquez"</f>
        <v>vvazquez</v>
      </c>
      <c r="I870" t="str">
        <f>"121"</f>
        <v>121</v>
      </c>
      <c r="J870" t="str">
        <f t="shared" si="199"/>
        <v>N</v>
      </c>
    </row>
    <row r="871" spans="1:10">
      <c r="A871" t="str">
        <f>"1335LR00"</f>
        <v>1335LR00</v>
      </c>
      <c r="B871" t="str">
        <f t="shared" si="201"/>
        <v>ACT</v>
      </c>
      <c r="C871" t="str">
        <f>"36"</f>
        <v>36</v>
      </c>
      <c r="D871" t="str">
        <f>"N/A"</f>
        <v>N/A</v>
      </c>
      <c r="E871" t="str">
        <f>"PCM500111200011"</f>
        <v>PCM500111200011</v>
      </c>
      <c r="F871" t="str">
        <f>"CM-500A"</f>
        <v>CM-500A</v>
      </c>
      <c r="G871" t="str">
        <f>"ESD CONSTANT MONITOR -CYWELD3A"</f>
        <v>ESD CONSTANT MONITOR -CYWELD3A</v>
      </c>
      <c r="H871" t="str">
        <f>"gramirez"</f>
        <v>gramirez</v>
      </c>
      <c r="I871" t="str">
        <f>"058"</f>
        <v>058</v>
      </c>
      <c r="J871" t="str">
        <f t="shared" si="199"/>
        <v>N</v>
      </c>
    </row>
    <row r="872" spans="1:10">
      <c r="A872" t="str">
        <f>"1335LR01"</f>
        <v>1335LR01</v>
      </c>
      <c r="B872" t="str">
        <f t="shared" si="201"/>
        <v>ACT</v>
      </c>
      <c r="C872" t="str">
        <f>"36"</f>
        <v>36</v>
      </c>
      <c r="D872" t="str">
        <f>"N/A"</f>
        <v>N/A</v>
      </c>
      <c r="E872" t="str">
        <f>"PCM500111200015"</f>
        <v>PCM500111200015</v>
      </c>
      <c r="F872" t="str">
        <f>"CM-500A"</f>
        <v>CM-500A</v>
      </c>
      <c r="G872" t="str">
        <f>"ESD CONSTANT MONITOR -CYWELD3A002"</f>
        <v>ESD CONSTANT MONITOR -CYWELD3A002</v>
      </c>
      <c r="H872" t="str">
        <f>"gramirez"</f>
        <v>gramirez</v>
      </c>
      <c r="I872" t="str">
        <f>"058"</f>
        <v>058</v>
      </c>
      <c r="J872" t="str">
        <f t="shared" si="199"/>
        <v>N</v>
      </c>
    </row>
    <row r="873" spans="1:10">
      <c r="A873" t="str">
        <f>"1336SSOO"</f>
        <v>1336SSOO</v>
      </c>
      <c r="B873" t="str">
        <f t="shared" si="201"/>
        <v>ACT</v>
      </c>
      <c r="C873" t="str">
        <f>"24"</f>
        <v>24</v>
      </c>
      <c r="D873" t="str">
        <f>"N/A"</f>
        <v>N/A</v>
      </c>
      <c r="E873" t="str">
        <f>"N/A"</f>
        <v>N/A</v>
      </c>
      <c r="F873" t="str">
        <f>"N/A"</f>
        <v>N/A</v>
      </c>
      <c r="G873" t="str">
        <f>"LAVA OJOS  PORTATIL"</f>
        <v>LAVA OJOS  PORTATIL</v>
      </c>
      <c r="H873" t="str">
        <f>"jmaldonado"</f>
        <v>jmaldonado</v>
      </c>
      <c r="I873" t="str">
        <f>"081"</f>
        <v>081</v>
      </c>
      <c r="J873" t="str">
        <f t="shared" si="199"/>
        <v>N</v>
      </c>
    </row>
    <row r="874" spans="1:10">
      <c r="A874" t="str">
        <f>"1322LR00"</f>
        <v>1322LR00</v>
      </c>
      <c r="B874" t="str">
        <f t="shared" si="201"/>
        <v>ACT</v>
      </c>
      <c r="C874" t="str">
        <f>"36"</f>
        <v>36</v>
      </c>
      <c r="D874" t="str">
        <f>"TQP21350"</f>
        <v>TQP21350</v>
      </c>
      <c r="E874" t="str">
        <f>"0017"</f>
        <v>0017</v>
      </c>
      <c r="F874" t="str">
        <f>"FINT0D3"</f>
        <v>FINT0D3</v>
      </c>
      <c r="G874" t="str">
        <f>"LEN WELD CYWELD3A003"</f>
        <v>LEN WELD CYWELD3A003</v>
      </c>
      <c r="H874" t="str">
        <f>"gramirez"</f>
        <v>gramirez</v>
      </c>
      <c r="I874" t="str">
        <f>"078"</f>
        <v>078</v>
      </c>
      <c r="J874" t="str">
        <f t="shared" si="199"/>
        <v>N</v>
      </c>
    </row>
    <row r="875" spans="1:10">
      <c r="A875" t="str">
        <f>"1333LR03"</f>
        <v>1333LR03</v>
      </c>
      <c r="B875" t="str">
        <f t="shared" si="201"/>
        <v>ACT</v>
      </c>
      <c r="C875" t="str">
        <f>"43"</f>
        <v>43</v>
      </c>
      <c r="D875" t="str">
        <f>"TQP21034"</f>
        <v>TQP21034</v>
      </c>
      <c r="E875" t="str">
        <f>"AB16355"</f>
        <v>AB16355</v>
      </c>
      <c r="F875" t="str">
        <f>"DMM2150"</f>
        <v>DMM2150</v>
      </c>
      <c r="G875" t="str">
        <f>"CYBOND # 38"</f>
        <v>CYBOND # 38</v>
      </c>
      <c r="H875" t="str">
        <f>"vvazquez"</f>
        <v>vvazquez</v>
      </c>
      <c r="I875" t="str">
        <f>"023"</f>
        <v>023</v>
      </c>
      <c r="J875" t="str">
        <f t="shared" si="199"/>
        <v>N</v>
      </c>
    </row>
    <row r="876" spans="1:10">
      <c r="A876" t="str">
        <f>"1333LR00"</f>
        <v>1333LR00</v>
      </c>
      <c r="B876" t="str">
        <f t="shared" si="201"/>
        <v>ACT</v>
      </c>
      <c r="C876" t="str">
        <f>"43"</f>
        <v>43</v>
      </c>
      <c r="D876" t="str">
        <f>"TQP22506"</f>
        <v>TQP22506</v>
      </c>
      <c r="E876" t="str">
        <f>"AB18932"</f>
        <v>AB18932</v>
      </c>
      <c r="F876" t="str">
        <f>"DMM2150"</f>
        <v>DMM2150</v>
      </c>
      <c r="G876" t="str">
        <f>"CYBOND # 50"</f>
        <v>CYBOND # 50</v>
      </c>
      <c r="H876" t="str">
        <f>"vvazquez"</f>
        <v>vvazquez</v>
      </c>
      <c r="I876" t="str">
        <f>"023"</f>
        <v>023</v>
      </c>
      <c r="J876" t="str">
        <f t="shared" si="199"/>
        <v>N</v>
      </c>
    </row>
    <row r="877" spans="1:10">
      <c r="A877" t="str">
        <f>"1333LR01"</f>
        <v>1333LR01</v>
      </c>
      <c r="B877" t="str">
        <f t="shared" si="201"/>
        <v>ACT</v>
      </c>
      <c r="C877" t="str">
        <f>"43"</f>
        <v>43</v>
      </c>
      <c r="D877" t="str">
        <f>"TQP02480"</f>
        <v>TQP02480</v>
      </c>
      <c r="E877" t="str">
        <f>"AB19051"</f>
        <v>AB19051</v>
      </c>
      <c r="F877" t="str">
        <f>"DMM2150"</f>
        <v>DMM2150</v>
      </c>
      <c r="G877" t="str">
        <f>"CYBOND # 6"</f>
        <v>CYBOND # 6</v>
      </c>
      <c r="H877" t="str">
        <f>"vvazquez"</f>
        <v>vvazquez</v>
      </c>
      <c r="I877" t="str">
        <f>"023"</f>
        <v>023</v>
      </c>
      <c r="J877" t="str">
        <f t="shared" si="199"/>
        <v>N</v>
      </c>
    </row>
    <row r="878" spans="1:10">
      <c r="A878" t="str">
        <f>"1333LR02"</f>
        <v>1333LR02</v>
      </c>
      <c r="B878" t="str">
        <f t="shared" si="201"/>
        <v>ACT</v>
      </c>
      <c r="C878" t="str">
        <f>"43"</f>
        <v>43</v>
      </c>
      <c r="D878" t="str">
        <f>"TQP22193"</f>
        <v>TQP22193</v>
      </c>
      <c r="E878" t="str">
        <f>"AB17888"</f>
        <v>AB17888</v>
      </c>
      <c r="F878" t="str">
        <f>"DMM2150"</f>
        <v>DMM2150</v>
      </c>
      <c r="G878" t="str">
        <f>"CYBOND # 13"</f>
        <v>CYBOND # 13</v>
      </c>
      <c r="H878" t="str">
        <f>"vvazquez"</f>
        <v>vvazquez</v>
      </c>
      <c r="I878" t="str">
        <f>"023"</f>
        <v>023</v>
      </c>
      <c r="J878" t="str">
        <f t="shared" si="199"/>
        <v>N</v>
      </c>
    </row>
    <row r="879" spans="1:10">
      <c r="A879" t="str">
        <f>"LE-001-04904"</f>
        <v>LE-001-04904</v>
      </c>
      <c r="B879" t="str">
        <f t="shared" si="201"/>
        <v>ACT</v>
      </c>
      <c r="C879" t="str">
        <f>"13"</f>
        <v>13</v>
      </c>
      <c r="D879" t="str">
        <f>"TQP12286"</f>
        <v>TQP12286</v>
      </c>
      <c r="E879" t="str">
        <f>"N/A"</f>
        <v>N/A</v>
      </c>
      <c r="F879" t="str">
        <f>"N/A"</f>
        <v>N/A</v>
      </c>
      <c r="G879" t="str">
        <f>"TEST SET  PURGE #22"</f>
        <v>TEST SET  PURGE #22</v>
      </c>
      <c r="H879" t="str">
        <f>"jmarmolejo"</f>
        <v>jmarmolejo</v>
      </c>
      <c r="I879" t="str">
        <f>"081"</f>
        <v>081</v>
      </c>
      <c r="J879" t="str">
        <f t="shared" si="199"/>
        <v>N</v>
      </c>
    </row>
    <row r="880" spans="1:10">
      <c r="A880" t="str">
        <f>"1342QA00"</f>
        <v>1342QA00</v>
      </c>
      <c r="B880" t="str">
        <f>"INACT"</f>
        <v>INACT</v>
      </c>
      <c r="C880" t="str">
        <f>"45"</f>
        <v>45</v>
      </c>
      <c r="D880" t="str">
        <f>"N/A"</f>
        <v>N/A</v>
      </c>
      <c r="E880" t="str">
        <f>"PCM500111200010"</f>
        <v>PCM500111200010</v>
      </c>
      <c r="F880" t="str">
        <f>"CM-500A"</f>
        <v>CM-500A</v>
      </c>
      <c r="G880" t="str">
        <f>"ESD CONSTANT MONITOR"</f>
        <v>ESD CONSTANT MONITOR</v>
      </c>
      <c r="H880" t="str">
        <f>"zfernandez"</f>
        <v>zfernandez</v>
      </c>
      <c r="I880" t="str">
        <f>"058"</f>
        <v>058</v>
      </c>
      <c r="J880" t="str">
        <f t="shared" si="199"/>
        <v>N</v>
      </c>
    </row>
    <row r="881" spans="1:10">
      <c r="A881" t="str">
        <f>"1342QA01"</f>
        <v>1342QA01</v>
      </c>
      <c r="B881" t="str">
        <f>"INACT"</f>
        <v>INACT</v>
      </c>
      <c r="C881" t="str">
        <f>"19"</f>
        <v>19</v>
      </c>
      <c r="D881" t="str">
        <f>"N/A"</f>
        <v>N/A</v>
      </c>
      <c r="E881" t="str">
        <f>"PCM50011120006"</f>
        <v>PCM50011120006</v>
      </c>
      <c r="F881" t="str">
        <f>"CM-500A"</f>
        <v>CM-500A</v>
      </c>
      <c r="G881" t="str">
        <f>"ESD CONSTANT MONITOR"</f>
        <v>ESD CONSTANT MONITOR</v>
      </c>
      <c r="H881" t="str">
        <f>"zfernandez"</f>
        <v>zfernandez</v>
      </c>
      <c r="I881" t="str">
        <f>"058"</f>
        <v>058</v>
      </c>
      <c r="J881" t="str">
        <f t="shared" si="199"/>
        <v>N</v>
      </c>
    </row>
    <row r="882" spans="1:10">
      <c r="A882" t="str">
        <f>"LE--001-04960"</f>
        <v>LE--001-04960</v>
      </c>
      <c r="B882" t="str">
        <f t="shared" ref="B882:B908" si="208">"ACT"</f>
        <v>ACT</v>
      </c>
      <c r="C882" t="str">
        <f t="shared" ref="C882:C887" si="209">"13"</f>
        <v>13</v>
      </c>
      <c r="D882" t="str">
        <f>"TQP12244"</f>
        <v>TQP12244</v>
      </c>
      <c r="E882" t="str">
        <f t="shared" ref="E882:F887" si="210">"N/A"</f>
        <v>N/A</v>
      </c>
      <c r="F882" t="str">
        <f t="shared" si="210"/>
        <v>N/A</v>
      </c>
      <c r="G882" t="str">
        <f>"OSA PURGE  # 26"</f>
        <v>OSA PURGE  # 26</v>
      </c>
      <c r="H882" t="str">
        <f>"jmarmolejo"</f>
        <v>jmarmolejo</v>
      </c>
      <c r="I882" t="str">
        <f t="shared" ref="I882:I887" si="211">"081"</f>
        <v>081</v>
      </c>
      <c r="J882" t="str">
        <f t="shared" si="199"/>
        <v>N</v>
      </c>
    </row>
    <row r="883" spans="1:10">
      <c r="A883" t="str">
        <f>"LE-001-04851"</f>
        <v>LE-001-04851</v>
      </c>
      <c r="B883" t="str">
        <f t="shared" si="208"/>
        <v>ACT</v>
      </c>
      <c r="C883" t="str">
        <f t="shared" si="209"/>
        <v>13</v>
      </c>
      <c r="D883" t="str">
        <f>"TQP12224"</f>
        <v>TQP12224</v>
      </c>
      <c r="E883" t="str">
        <f t="shared" si="210"/>
        <v>N/A</v>
      </c>
      <c r="F883" t="str">
        <f t="shared" si="210"/>
        <v>N/A</v>
      </c>
      <c r="G883" t="str">
        <f>"OSA PURGE  # 29"</f>
        <v>OSA PURGE  # 29</v>
      </c>
      <c r="H883" t="str">
        <f>"jmarmolejo"</f>
        <v>jmarmolejo</v>
      </c>
      <c r="I883" t="str">
        <f t="shared" si="211"/>
        <v>081</v>
      </c>
      <c r="J883" t="str">
        <f t="shared" si="199"/>
        <v>N</v>
      </c>
    </row>
    <row r="884" spans="1:10">
      <c r="A884" t="str">
        <f>"LE-001-04956"</f>
        <v>LE-001-04956</v>
      </c>
      <c r="B884" t="str">
        <f t="shared" si="208"/>
        <v>ACT</v>
      </c>
      <c r="C884" t="str">
        <f t="shared" si="209"/>
        <v>13</v>
      </c>
      <c r="D884" t="str">
        <f>"TQP12366"</f>
        <v>TQP12366</v>
      </c>
      <c r="E884" t="str">
        <f t="shared" si="210"/>
        <v>N/A</v>
      </c>
      <c r="F884" t="str">
        <f t="shared" si="210"/>
        <v>N/A</v>
      </c>
      <c r="G884" t="str">
        <f>"OSA PURGE  # 2"</f>
        <v>OSA PURGE  # 2</v>
      </c>
      <c r="H884" t="str">
        <f>"zfernandez"</f>
        <v>zfernandez</v>
      </c>
      <c r="I884" t="str">
        <f t="shared" si="211"/>
        <v>081</v>
      </c>
      <c r="J884" t="str">
        <f t="shared" si="199"/>
        <v>N</v>
      </c>
    </row>
    <row r="885" spans="1:10">
      <c r="A885" t="str">
        <f>"LE-001-05110"</f>
        <v>LE-001-05110</v>
      </c>
      <c r="B885" t="str">
        <f t="shared" si="208"/>
        <v>ACT</v>
      </c>
      <c r="C885" t="str">
        <f t="shared" si="209"/>
        <v>13</v>
      </c>
      <c r="D885" t="str">
        <f>"TQP12323"</f>
        <v>TQP12323</v>
      </c>
      <c r="E885" t="str">
        <f t="shared" si="210"/>
        <v>N/A</v>
      </c>
      <c r="F885" t="str">
        <f t="shared" si="210"/>
        <v>N/A</v>
      </c>
      <c r="G885" t="str">
        <f>"OSA PURGE  # 3A3"</f>
        <v>OSA PURGE  # 3A3</v>
      </c>
      <c r="H885" t="str">
        <f>"zfernandez"</f>
        <v>zfernandez</v>
      </c>
      <c r="I885" t="str">
        <f t="shared" si="211"/>
        <v>081</v>
      </c>
      <c r="J885" t="str">
        <f t="shared" si="199"/>
        <v>N</v>
      </c>
    </row>
    <row r="886" spans="1:10">
      <c r="A886" t="str">
        <f>"LE-001-04849"</f>
        <v>LE-001-04849</v>
      </c>
      <c r="B886" t="str">
        <f t="shared" si="208"/>
        <v>ACT</v>
      </c>
      <c r="C886" t="str">
        <f t="shared" si="209"/>
        <v>13</v>
      </c>
      <c r="D886" t="str">
        <f>"TQP12203"</f>
        <v>TQP12203</v>
      </c>
      <c r="E886" t="str">
        <f t="shared" si="210"/>
        <v>N/A</v>
      </c>
      <c r="F886" t="str">
        <f t="shared" si="210"/>
        <v>N/A</v>
      </c>
      <c r="G886" t="str">
        <f>"OSA PURGE  # 4"</f>
        <v>OSA PURGE  # 4</v>
      </c>
      <c r="H886" t="str">
        <f>"zfernandez"</f>
        <v>zfernandez</v>
      </c>
      <c r="I886" t="str">
        <f t="shared" si="211"/>
        <v>081</v>
      </c>
      <c r="J886" t="str">
        <f t="shared" si="199"/>
        <v>N</v>
      </c>
    </row>
    <row r="887" spans="1:10">
      <c r="A887" t="str">
        <f>"LE-001-04850"</f>
        <v>LE-001-04850</v>
      </c>
      <c r="B887" t="str">
        <f t="shared" si="208"/>
        <v>ACT</v>
      </c>
      <c r="C887" t="str">
        <f t="shared" si="209"/>
        <v>13</v>
      </c>
      <c r="D887" t="str">
        <f>"TQP12214"</f>
        <v>TQP12214</v>
      </c>
      <c r="E887" t="str">
        <f t="shared" si="210"/>
        <v>N/A</v>
      </c>
      <c r="F887" t="str">
        <f t="shared" si="210"/>
        <v>N/A</v>
      </c>
      <c r="G887" t="str">
        <f>"OSA PURGE  # 5"</f>
        <v>OSA PURGE  # 5</v>
      </c>
      <c r="H887" t="str">
        <f>"zfernandez"</f>
        <v>zfernandez</v>
      </c>
      <c r="I887" t="str">
        <f t="shared" si="211"/>
        <v>081</v>
      </c>
      <c r="J887" t="str">
        <f t="shared" si="199"/>
        <v>N</v>
      </c>
    </row>
    <row r="888" spans="1:10">
      <c r="A888" t="str">
        <f>"1332LR00"</f>
        <v>1332LR00</v>
      </c>
      <c r="B888" t="str">
        <f t="shared" si="208"/>
        <v>ACT</v>
      </c>
      <c r="C888" t="str">
        <f>"43"</f>
        <v>43</v>
      </c>
      <c r="D888" t="str">
        <f>"TQP18452"</f>
        <v>TQP18452</v>
      </c>
      <c r="E888" t="str">
        <f>"1476359"</f>
        <v>1476359</v>
      </c>
      <c r="F888" t="str">
        <f t="shared" ref="F888:F893" si="212">"IG-25-2-M"</f>
        <v>IG-25-2-M</v>
      </c>
      <c r="G888" t="str">
        <f>"CYBOND #67"</f>
        <v>CYBOND #67</v>
      </c>
      <c r="H888" t="str">
        <f>"vvazquez"</f>
        <v>vvazquez</v>
      </c>
      <c r="I888" t="str">
        <f t="shared" ref="I888:I893" si="213">"051"</f>
        <v>051</v>
      </c>
      <c r="J888" t="str">
        <f t="shared" si="199"/>
        <v>N</v>
      </c>
    </row>
    <row r="889" spans="1:10">
      <c r="A889" t="str">
        <f>"1323LR00"</f>
        <v>1323LR00</v>
      </c>
      <c r="B889" t="str">
        <f t="shared" si="208"/>
        <v>ACT</v>
      </c>
      <c r="C889" t="str">
        <f>"43"</f>
        <v>43</v>
      </c>
      <c r="D889" t="str">
        <f>"TQP18453"</f>
        <v>TQP18453</v>
      </c>
      <c r="E889" t="str">
        <f>"1476444"</f>
        <v>1476444</v>
      </c>
      <c r="F889" t="str">
        <f t="shared" si="212"/>
        <v>IG-25-2-M</v>
      </c>
      <c r="G889" t="str">
        <f>"CYBOND # 68"</f>
        <v>CYBOND # 68</v>
      </c>
      <c r="H889" t="str">
        <f>"vvazquez"</f>
        <v>vvazquez</v>
      </c>
      <c r="I889" t="str">
        <f t="shared" si="213"/>
        <v>051</v>
      </c>
      <c r="J889" t="str">
        <f t="shared" si="199"/>
        <v>N</v>
      </c>
    </row>
    <row r="890" spans="1:10">
      <c r="A890" t="str">
        <f>"1336LR01"</f>
        <v>1336LR01</v>
      </c>
      <c r="B890" t="str">
        <f t="shared" si="208"/>
        <v>ACT</v>
      </c>
      <c r="C890" t="str">
        <f>"43"</f>
        <v>43</v>
      </c>
      <c r="D890" t="str">
        <f>"TQP18450"</f>
        <v>TQP18450</v>
      </c>
      <c r="E890" t="str">
        <f>"1476358"</f>
        <v>1476358</v>
      </c>
      <c r="F890" t="str">
        <f t="shared" si="212"/>
        <v>IG-25-2-M</v>
      </c>
      <c r="G890" t="str">
        <f>"CYBOND #76"</f>
        <v>CYBOND #76</v>
      </c>
      <c r="H890" t="str">
        <f>"vvazquez"</f>
        <v>vvazquez</v>
      </c>
      <c r="I890" t="str">
        <f t="shared" si="213"/>
        <v>051</v>
      </c>
      <c r="J890" t="str">
        <f t="shared" si="199"/>
        <v>N</v>
      </c>
    </row>
    <row r="891" spans="1:10">
      <c r="A891" t="str">
        <f>"1344OS00"</f>
        <v>1344OS00</v>
      </c>
      <c r="B891" t="str">
        <f t="shared" si="208"/>
        <v>ACT</v>
      </c>
      <c r="C891" t="str">
        <f>"13"</f>
        <v>13</v>
      </c>
      <c r="D891" t="str">
        <f>"TQP18451"</f>
        <v>TQP18451</v>
      </c>
      <c r="E891" t="str">
        <f>"1476440"</f>
        <v>1476440</v>
      </c>
      <c r="F891" t="str">
        <f t="shared" si="212"/>
        <v>IG-25-2-M</v>
      </c>
      <c r="G891" t="str">
        <f>"CYBOND  #70"</f>
        <v>CYBOND  #70</v>
      </c>
      <c r="H891" t="str">
        <f>"josue.e.gonzalez"</f>
        <v>josue.e.gonzalez</v>
      </c>
      <c r="I891" t="str">
        <f t="shared" si="213"/>
        <v>051</v>
      </c>
      <c r="J891" t="str">
        <f t="shared" si="199"/>
        <v>N</v>
      </c>
    </row>
    <row r="892" spans="1:10">
      <c r="A892" t="str">
        <f>"1344OS02"</f>
        <v>1344OS02</v>
      </c>
      <c r="B892" t="str">
        <f t="shared" si="208"/>
        <v>ACT</v>
      </c>
      <c r="C892" t="str">
        <f>"13"</f>
        <v>13</v>
      </c>
      <c r="D892" t="str">
        <f>"TQP17818"</f>
        <v>TQP17818</v>
      </c>
      <c r="E892" t="str">
        <f>"1476354"</f>
        <v>1476354</v>
      </c>
      <c r="F892" t="str">
        <f t="shared" si="212"/>
        <v>IG-25-2-M</v>
      </c>
      <c r="G892" t="str">
        <f>"CYBOND #73"</f>
        <v>CYBOND #73</v>
      </c>
      <c r="H892" t="str">
        <f>"josue.e.gonzalez"</f>
        <v>josue.e.gonzalez</v>
      </c>
      <c r="I892" t="str">
        <f t="shared" si="213"/>
        <v>051</v>
      </c>
      <c r="J892" t="str">
        <f t="shared" si="199"/>
        <v>N</v>
      </c>
    </row>
    <row r="893" spans="1:10">
      <c r="A893" t="str">
        <f>"1344OS03"</f>
        <v>1344OS03</v>
      </c>
      <c r="B893" t="str">
        <f t="shared" si="208"/>
        <v>ACT</v>
      </c>
      <c r="C893" t="str">
        <f>"13"</f>
        <v>13</v>
      </c>
      <c r="D893" t="str">
        <f>"TQP18854"</f>
        <v>TQP18854</v>
      </c>
      <c r="E893" t="str">
        <f>"1476356"</f>
        <v>1476356</v>
      </c>
      <c r="F893" t="str">
        <f t="shared" si="212"/>
        <v>IG-25-2-M</v>
      </c>
      <c r="G893" t="str">
        <f>"CYBOND #69"</f>
        <v>CYBOND #69</v>
      </c>
      <c r="H893" t="str">
        <f>"josue.e.gonzalez"</f>
        <v>josue.e.gonzalez</v>
      </c>
      <c r="I893" t="str">
        <f t="shared" si="213"/>
        <v>051</v>
      </c>
      <c r="J893" t="str">
        <f t="shared" si="199"/>
        <v>N</v>
      </c>
    </row>
    <row r="894" spans="1:10">
      <c r="A894" t="str">
        <f>"1341DD00"</f>
        <v>1341DD00</v>
      </c>
      <c r="B894" t="str">
        <f t="shared" si="208"/>
        <v>ACT</v>
      </c>
      <c r="C894" t="str">
        <f>"45"</f>
        <v>45</v>
      </c>
      <c r="D894" t="str">
        <f>"TQP21021"</f>
        <v>TQP21021</v>
      </c>
      <c r="E894" t="str">
        <f>"305566"</f>
        <v>305566</v>
      </c>
      <c r="F894" t="str">
        <f>"3088"</f>
        <v>3088</v>
      </c>
      <c r="G894" t="str">
        <f>"WIRE BOND"</f>
        <v>WIRE BOND</v>
      </c>
      <c r="H894" t="str">
        <f>"rramones"</f>
        <v>rramones</v>
      </c>
      <c r="I894" t="str">
        <f>"027"</f>
        <v>027</v>
      </c>
      <c r="J894" t="str">
        <f t="shared" si="199"/>
        <v>N</v>
      </c>
    </row>
    <row r="895" spans="1:10">
      <c r="A895" t="str">
        <f>"1313FC00"</f>
        <v>1313FC00</v>
      </c>
      <c r="B895" t="str">
        <f t="shared" si="208"/>
        <v>ACT</v>
      </c>
      <c r="C895" t="str">
        <f>"16"</f>
        <v>16</v>
      </c>
      <c r="D895" t="str">
        <f t="shared" ref="D895:E897" si="214">"N/A"</f>
        <v>N/A</v>
      </c>
      <c r="E895" t="str">
        <f t="shared" si="214"/>
        <v>N/A</v>
      </c>
      <c r="F895" t="str">
        <f>"FP7135"</f>
        <v>FP7135</v>
      </c>
      <c r="G895" t="str">
        <f>"PRESSURE TANK"</f>
        <v>PRESSURE TANK</v>
      </c>
      <c r="H895" t="str">
        <f>"jmaldonado"</f>
        <v>jmaldonado</v>
      </c>
      <c r="I895" t="str">
        <f>"113"</f>
        <v>113</v>
      </c>
      <c r="J895" t="str">
        <f t="shared" si="199"/>
        <v>N</v>
      </c>
    </row>
    <row r="896" spans="1:10">
      <c r="A896" t="str">
        <f>"1401FC00"</f>
        <v>1401FC00</v>
      </c>
      <c r="B896" t="str">
        <f t="shared" si="208"/>
        <v>ACT</v>
      </c>
      <c r="C896" t="str">
        <f>"16"</f>
        <v>16</v>
      </c>
      <c r="D896" t="str">
        <f t="shared" si="214"/>
        <v>N/A</v>
      </c>
      <c r="E896" t="str">
        <f t="shared" si="214"/>
        <v>N/A</v>
      </c>
      <c r="F896" t="str">
        <f>"FP7130-08"</f>
        <v>FP7130-08</v>
      </c>
      <c r="G896" t="str">
        <f>"PRESSURE  TANK"</f>
        <v>PRESSURE  TANK</v>
      </c>
      <c r="H896" t="str">
        <f>"jmaldonado"</f>
        <v>jmaldonado</v>
      </c>
      <c r="I896" t="str">
        <f>"113"</f>
        <v>113</v>
      </c>
      <c r="J896" t="str">
        <f t="shared" si="199"/>
        <v>N</v>
      </c>
    </row>
    <row r="897" spans="1:10">
      <c r="A897" t="str">
        <f>"1401FC01"</f>
        <v>1401FC01</v>
      </c>
      <c r="B897" t="str">
        <f t="shared" si="208"/>
        <v>ACT</v>
      </c>
      <c r="C897" t="str">
        <f>"16"</f>
        <v>16</v>
      </c>
      <c r="D897" t="str">
        <f t="shared" si="214"/>
        <v>N/A</v>
      </c>
      <c r="E897" t="str">
        <f t="shared" si="214"/>
        <v>N/A</v>
      </c>
      <c r="F897" t="str">
        <f>"N/A"</f>
        <v>N/A</v>
      </c>
      <c r="G897" t="str">
        <f>"PRESSURE TANK PLATEADO CUANTO DE BOMBAS"</f>
        <v>PRESSURE TANK PLATEADO CUANTO DE BOMBAS</v>
      </c>
      <c r="H897" t="str">
        <f>"jmaldonado"</f>
        <v>jmaldonado</v>
      </c>
      <c r="I897" t="str">
        <f>"081"</f>
        <v>081</v>
      </c>
      <c r="J897" t="str">
        <f t="shared" si="199"/>
        <v>N</v>
      </c>
    </row>
    <row r="898" spans="1:10">
      <c r="A898" t="str">
        <f>"1431QA00"</f>
        <v>1431QA00</v>
      </c>
      <c r="B898" t="str">
        <f t="shared" si="208"/>
        <v>ACT</v>
      </c>
      <c r="C898" t="str">
        <f>"47"</f>
        <v>47</v>
      </c>
      <c r="D898" t="str">
        <f>"N/A"</f>
        <v>N/A</v>
      </c>
      <c r="E898" t="str">
        <f>"PCM50007130003"</f>
        <v>PCM50007130003</v>
      </c>
      <c r="F898" t="str">
        <f>"CM-500A"</f>
        <v>CM-500A</v>
      </c>
      <c r="G898" t="str">
        <f>"ESD CONSTANT MONITOR  TEST#04"</f>
        <v>ESD CONSTANT MONITOR  TEST#04</v>
      </c>
      <c r="H898" t="str">
        <f>"jcastaneda"</f>
        <v>jcastaneda</v>
      </c>
      <c r="I898" t="str">
        <f>"058"</f>
        <v>058</v>
      </c>
      <c r="J898" t="str">
        <f t="shared" si="199"/>
        <v>N</v>
      </c>
    </row>
    <row r="899" spans="1:10">
      <c r="A899" t="str">
        <f>"1431QA01"</f>
        <v>1431QA01</v>
      </c>
      <c r="B899" t="str">
        <f t="shared" si="208"/>
        <v>ACT</v>
      </c>
      <c r="C899" t="str">
        <f>"47"</f>
        <v>47</v>
      </c>
      <c r="D899" t="str">
        <f>"N/A"</f>
        <v>N/A</v>
      </c>
      <c r="E899" t="str">
        <f>"PCM50011130002"</f>
        <v>PCM50011130002</v>
      </c>
      <c r="F899" t="str">
        <f>"CM-500A"</f>
        <v>CM-500A</v>
      </c>
      <c r="G899" t="str">
        <f>"ESD CONSTANT MONITOR  MESA"</f>
        <v>ESD CONSTANT MONITOR  MESA</v>
      </c>
      <c r="H899" t="str">
        <f>"jcastaneda"</f>
        <v>jcastaneda</v>
      </c>
      <c r="I899" t="str">
        <f>"058"</f>
        <v>058</v>
      </c>
      <c r="J899" t="str">
        <f t="shared" si="199"/>
        <v>N</v>
      </c>
    </row>
    <row r="900" spans="1:10">
      <c r="A900" t="str">
        <f>"1431QA02"</f>
        <v>1431QA02</v>
      </c>
      <c r="B900" t="str">
        <f t="shared" si="208"/>
        <v>ACT</v>
      </c>
      <c r="C900" t="str">
        <f>"47"</f>
        <v>47</v>
      </c>
      <c r="D900" t="str">
        <f>"N/A"</f>
        <v>N/A</v>
      </c>
      <c r="E900" t="str">
        <f>"PCM50011130006"</f>
        <v>PCM50011130006</v>
      </c>
      <c r="F900" t="str">
        <f>"CM-500A"</f>
        <v>CM-500A</v>
      </c>
      <c r="G900" t="str">
        <f>"ESD CONSTANT MONITOR  TEST#03"</f>
        <v>ESD CONSTANT MONITOR  TEST#03</v>
      </c>
      <c r="H900" t="str">
        <f>"jcastaneda"</f>
        <v>jcastaneda</v>
      </c>
      <c r="I900" t="str">
        <f>"058"</f>
        <v>058</v>
      </c>
      <c r="J900" t="str">
        <f t="shared" si="199"/>
        <v>N</v>
      </c>
    </row>
    <row r="901" spans="1:10">
      <c r="A901" t="str">
        <f>"0724TO01"</f>
        <v>0724TO01</v>
      </c>
      <c r="B901" t="str">
        <f t="shared" si="208"/>
        <v>ACT</v>
      </c>
      <c r="C901" t="str">
        <f>"27"</f>
        <v>27</v>
      </c>
      <c r="D901" t="str">
        <f>"TQP20418"</f>
        <v>TQP20418</v>
      </c>
      <c r="E901" t="str">
        <f>"190"</f>
        <v>190</v>
      </c>
      <c r="F901" t="str">
        <f>"3500 II"</f>
        <v>3500 II</v>
      </c>
      <c r="G901" t="str">
        <f>"MAQUINA PLACEMENT PALOMAR"</f>
        <v>MAQUINA PLACEMENT PALOMAR</v>
      </c>
      <c r="H901" t="str">
        <f>"ageronimo"</f>
        <v>ageronimo</v>
      </c>
      <c r="I901" t="str">
        <f>"090"</f>
        <v>090</v>
      </c>
      <c r="J901" t="str">
        <f t="shared" si="199"/>
        <v>N</v>
      </c>
    </row>
    <row r="902" spans="1:10">
      <c r="A902" t="str">
        <f>"0902PG00"</f>
        <v>0902PG00</v>
      </c>
      <c r="B902" t="str">
        <f t="shared" si="208"/>
        <v>ACT</v>
      </c>
      <c r="C902" t="str">
        <f>"30"</f>
        <v>30</v>
      </c>
      <c r="D902" t="str">
        <f>"N/A"</f>
        <v>N/A</v>
      </c>
      <c r="E902" t="str">
        <f>"N/A"</f>
        <v>N/A</v>
      </c>
      <c r="F902" t="str">
        <f>"N/A"</f>
        <v>N/A</v>
      </c>
      <c r="G902" t="str">
        <f>"EQUIPO DE PRUEBA FINAL ITLA"</f>
        <v>EQUIPO DE PRUEBA FINAL ITLA</v>
      </c>
      <c r="H902" t="str">
        <f>"jcastaneda"</f>
        <v>jcastaneda</v>
      </c>
      <c r="I902" t="str">
        <f>"081"</f>
        <v>081</v>
      </c>
      <c r="J902" t="str">
        <f t="shared" si="199"/>
        <v>N</v>
      </c>
    </row>
    <row r="903" spans="1:10">
      <c r="A903" t="str">
        <f>"0914PG01"</f>
        <v>0914PG01</v>
      </c>
      <c r="B903" t="str">
        <f t="shared" si="208"/>
        <v>ACT</v>
      </c>
      <c r="C903" t="str">
        <f>"30"</f>
        <v>30</v>
      </c>
      <c r="D903" t="str">
        <f>"1048199"</f>
        <v>1048199</v>
      </c>
      <c r="E903" t="str">
        <f>"0002"</f>
        <v>0002</v>
      </c>
      <c r="F903" t="str">
        <f>"ALFIBER 3000"</f>
        <v>ALFIBER 3000</v>
      </c>
      <c r="G903" t="str">
        <f>"DEFLECTOR ALIGNER"</f>
        <v>DEFLECTOR ALIGNER</v>
      </c>
      <c r="H903" t="str">
        <f>"gramirez"</f>
        <v>gramirez</v>
      </c>
      <c r="I903" t="str">
        <f>"127"</f>
        <v>127</v>
      </c>
      <c r="J903" t="str">
        <f t="shared" ref="J903:J947" si="215">"N"</f>
        <v>N</v>
      </c>
    </row>
    <row r="904" spans="1:10">
      <c r="A904" t="str">
        <f>"0914PG02"</f>
        <v>0914PG02</v>
      </c>
      <c r="B904" t="str">
        <f t="shared" si="208"/>
        <v>ACT</v>
      </c>
      <c r="C904" t="str">
        <f>"30"</f>
        <v>30</v>
      </c>
      <c r="D904" t="str">
        <f>"1048198"</f>
        <v>1048198</v>
      </c>
      <c r="E904" t="str">
        <f>"0001"</f>
        <v>0001</v>
      </c>
      <c r="F904" t="str">
        <f>"ALFIBER 300"</f>
        <v>ALFIBER 300</v>
      </c>
      <c r="G904" t="str">
        <f>"LENS ALIGNER"</f>
        <v>LENS ALIGNER</v>
      </c>
      <c r="H904" t="str">
        <f>"gramirez"</f>
        <v>gramirez</v>
      </c>
      <c r="I904" t="str">
        <f>"127"</f>
        <v>127</v>
      </c>
      <c r="J904" t="str">
        <f t="shared" si="215"/>
        <v>N</v>
      </c>
    </row>
    <row r="905" spans="1:10">
      <c r="A905" t="str">
        <f>"0914PG05"</f>
        <v>0914PG05</v>
      </c>
      <c r="B905" t="str">
        <f t="shared" si="208"/>
        <v>ACT</v>
      </c>
      <c r="C905" t="str">
        <f>"30"</f>
        <v>30</v>
      </c>
      <c r="D905" t="str">
        <f>"1048129"</f>
        <v>1048129</v>
      </c>
      <c r="E905" t="str">
        <f>"0002"</f>
        <v>0002</v>
      </c>
      <c r="F905" t="str">
        <f>"ALFIBER 300"</f>
        <v>ALFIBER 300</v>
      </c>
      <c r="G905" t="str">
        <f>"PIGTAILING STATION"</f>
        <v>PIGTAILING STATION</v>
      </c>
      <c r="H905" t="str">
        <f>"gramirez"</f>
        <v>gramirez</v>
      </c>
      <c r="I905" t="str">
        <f>"127"</f>
        <v>127</v>
      </c>
      <c r="J905" t="str">
        <f t="shared" si="215"/>
        <v>N</v>
      </c>
    </row>
    <row r="906" spans="1:10">
      <c r="A906" t="str">
        <f>"0435NP00"</f>
        <v>0435NP00</v>
      </c>
      <c r="B906" t="str">
        <f t="shared" si="208"/>
        <v>ACT</v>
      </c>
      <c r="C906" t="str">
        <f>"09"</f>
        <v>09</v>
      </c>
      <c r="D906" t="str">
        <f>"TQP09216"</f>
        <v>TQP09216</v>
      </c>
      <c r="E906" t="str">
        <f>"30542"</f>
        <v>30542</v>
      </c>
      <c r="F906" t="str">
        <f>"2800 "</f>
        <v xml:space="preserve">2800 </v>
      </c>
      <c r="G906" t="str">
        <f>"ENVIROMENT TEST CHAMBER"</f>
        <v>ENVIROMENT TEST CHAMBER</v>
      </c>
      <c r="H906" t="str">
        <f>"garaiza"</f>
        <v>garaiza</v>
      </c>
      <c r="I906" t="str">
        <f>"069"</f>
        <v>069</v>
      </c>
      <c r="J906" t="str">
        <f t="shared" si="215"/>
        <v>N</v>
      </c>
    </row>
    <row r="907" spans="1:10">
      <c r="A907" t="str">
        <f>"LE-010-22853"</f>
        <v>LE-010-22853</v>
      </c>
      <c r="B907" t="str">
        <f t="shared" si="208"/>
        <v>ACT</v>
      </c>
      <c r="C907" t="str">
        <f>"36"</f>
        <v>36</v>
      </c>
      <c r="D907" t="str">
        <f>"TQP22853"</f>
        <v>TQP22853</v>
      </c>
      <c r="E907" t="str">
        <f>"990555"</f>
        <v>990555</v>
      </c>
      <c r="F907" t="str">
        <f>"FX-5050"</f>
        <v>FX-5050</v>
      </c>
      <c r="G907" t="str">
        <f>"LENS WELDER ALIGNMENT # 08"</f>
        <v>LENS WELDER ALIGNMENT # 08</v>
      </c>
      <c r="H907" t="str">
        <f>"ecerda"</f>
        <v>ecerda</v>
      </c>
      <c r="I907" t="str">
        <f>"078"</f>
        <v>078</v>
      </c>
      <c r="J907" t="str">
        <f t="shared" si="215"/>
        <v>N</v>
      </c>
    </row>
    <row r="908" spans="1:10">
      <c r="A908" t="str">
        <f>"1130PG00"</f>
        <v>1130PG00</v>
      </c>
      <c r="B908" t="str">
        <f t="shared" si="208"/>
        <v>ACT</v>
      </c>
      <c r="C908" t="str">
        <f>"30"</f>
        <v>30</v>
      </c>
      <c r="D908" t="str">
        <f>"N/A"</f>
        <v>N/A</v>
      </c>
      <c r="E908" t="str">
        <f>"CML-1100191"</f>
        <v>CML-1100191</v>
      </c>
      <c r="F908" t="str">
        <f>"CM-500A"</f>
        <v>CM-500A</v>
      </c>
      <c r="G908" t="str">
        <f>"ESD CONSTANT MONITOR PGT  ASSY TARJETAS"</f>
        <v>ESD CONSTANT MONITOR PGT  ASSY TARJETAS</v>
      </c>
      <c r="H908" t="str">
        <f>"hcharles"</f>
        <v>hcharles</v>
      </c>
      <c r="I908" t="str">
        <f>"058"</f>
        <v>058</v>
      </c>
      <c r="J908" t="str">
        <f t="shared" si="215"/>
        <v>N</v>
      </c>
    </row>
    <row r="909" spans="1:10">
      <c r="A909" t="str">
        <f>"1135FG04"</f>
        <v>1135FG04</v>
      </c>
      <c r="B909" t="str">
        <f>"INACT"</f>
        <v>INACT</v>
      </c>
      <c r="C909" t="str">
        <f>"35"</f>
        <v>35</v>
      </c>
      <c r="D909" t="str">
        <f>"N/A"</f>
        <v>N/A</v>
      </c>
      <c r="E909" t="str">
        <f>"N/A"</f>
        <v>N/A</v>
      </c>
      <c r="F909" t="str">
        <f>"N/A"</f>
        <v>N/A</v>
      </c>
      <c r="G909" t="str">
        <f>"REVISION DE SS &amp;  ROP AJUSTE DE  SAP"</f>
        <v>REVISION DE SS &amp;  ROP AJUSTE DE  SAP</v>
      </c>
      <c r="H909" t="str">
        <f>"cfararoni"</f>
        <v>cfararoni</v>
      </c>
      <c r="I909" t="str">
        <f>"081"</f>
        <v>081</v>
      </c>
      <c r="J909" t="str">
        <f t="shared" si="215"/>
        <v>N</v>
      </c>
    </row>
    <row r="910" spans="1:10">
      <c r="A910" t="str">
        <f>"12350OS01"</f>
        <v>12350OS01</v>
      </c>
      <c r="B910" t="str">
        <f>"ACT"</f>
        <v>ACT</v>
      </c>
      <c r="C910" t="str">
        <f>"13"</f>
        <v>13</v>
      </c>
      <c r="D910" t="str">
        <f>"CYP2306"</f>
        <v>CYP2306</v>
      </c>
      <c r="E910" t="str">
        <f>"N/A"</f>
        <v>N/A</v>
      </c>
      <c r="F910" t="str">
        <f>"N/A"</f>
        <v>N/A</v>
      </c>
      <c r="G910" t="str">
        <f>"FUNCTIONAL CYTEST#11"</f>
        <v>FUNCTIONAL CYTEST#11</v>
      </c>
      <c r="H910" t="str">
        <f>"hvazquez"</f>
        <v>hvazquez</v>
      </c>
      <c r="I910" t="str">
        <f>"081"</f>
        <v>081</v>
      </c>
      <c r="J910" t="str">
        <f t="shared" si="215"/>
        <v>N</v>
      </c>
    </row>
    <row r="911" spans="1:10">
      <c r="A911" t="str">
        <f>"1235OS02"</f>
        <v>1235OS02</v>
      </c>
      <c r="B911" t="str">
        <f>"ACT"</f>
        <v>ACT</v>
      </c>
      <c r="C911" t="str">
        <f>"13"</f>
        <v>13</v>
      </c>
      <c r="D911" t="str">
        <f>"CYP2309"</f>
        <v>CYP2309</v>
      </c>
      <c r="E911" t="str">
        <f>"16278"</f>
        <v>16278</v>
      </c>
      <c r="F911" t="str">
        <f>"DMM2150"</f>
        <v>DMM2150</v>
      </c>
      <c r="G911" t="str">
        <f>"FUCTIONAL CYTEST#13"</f>
        <v>FUCTIONAL CYTEST#13</v>
      </c>
      <c r="H911" t="str">
        <f>"hvazquez"</f>
        <v>hvazquez</v>
      </c>
      <c r="I911" t="str">
        <f>"023"</f>
        <v>023</v>
      </c>
      <c r="J911" t="str">
        <f t="shared" si="215"/>
        <v>N</v>
      </c>
    </row>
    <row r="912" spans="1:10">
      <c r="A912" t="str">
        <f>"1306QA04"</f>
        <v>1306QA04</v>
      </c>
      <c r="B912" t="str">
        <f>"INACT"</f>
        <v>INACT</v>
      </c>
      <c r="C912" t="str">
        <f>"17"</f>
        <v>17</v>
      </c>
      <c r="D912" t="str">
        <f>"N/A"</f>
        <v>N/A</v>
      </c>
      <c r="E912" t="str">
        <f>"PCM500111200016"</f>
        <v>PCM500111200016</v>
      </c>
      <c r="F912" t="str">
        <f>"CM-500A"</f>
        <v>CM-500A</v>
      </c>
      <c r="G912" t="str">
        <f>"ESD CONSTANT  MONITOR"</f>
        <v>ESD CONSTANT  MONITOR</v>
      </c>
      <c r="H912" t="str">
        <f>"zfernandez"</f>
        <v>zfernandez</v>
      </c>
      <c r="I912" t="str">
        <f>"058"</f>
        <v>058</v>
      </c>
      <c r="J912" t="str">
        <f t="shared" si="215"/>
        <v>N</v>
      </c>
    </row>
    <row r="913" spans="1:10">
      <c r="A913" t="str">
        <f>"LE-011-02436"</f>
        <v>LE-011-02436</v>
      </c>
      <c r="B913" t="str">
        <f t="shared" ref="B913:B919" si="216">"ACT"</f>
        <v>ACT</v>
      </c>
      <c r="C913" t="str">
        <f>"13"</f>
        <v>13</v>
      </c>
      <c r="D913" t="str">
        <f>"TQP01939"</f>
        <v>TQP01939</v>
      </c>
      <c r="E913" t="str">
        <f>"AB17663"</f>
        <v>AB17663</v>
      </c>
      <c r="F913" t="str">
        <f>"DMM2150"</f>
        <v>DMM2150</v>
      </c>
      <c r="G913" t="str">
        <f>"CYBONDER #9"</f>
        <v>CYBONDER #9</v>
      </c>
      <c r="H913" t="str">
        <f>"lecortez"</f>
        <v>lecortez</v>
      </c>
      <c r="I913" t="str">
        <f>"023"</f>
        <v>023</v>
      </c>
      <c r="J913" t="str">
        <f t="shared" si="215"/>
        <v>N</v>
      </c>
    </row>
    <row r="914" spans="1:10">
      <c r="A914" t="str">
        <f>"LE-011-01986"</f>
        <v>LE-011-01986</v>
      </c>
      <c r="B914" t="str">
        <f t="shared" si="216"/>
        <v>ACT</v>
      </c>
      <c r="C914" t="str">
        <f>"43"</f>
        <v>43</v>
      </c>
      <c r="D914" t="str">
        <f>"TQP01827"</f>
        <v>TQP01827</v>
      </c>
      <c r="E914" t="str">
        <f>"AB17274"</f>
        <v>AB17274</v>
      </c>
      <c r="F914" t="str">
        <f>"DMM2150"</f>
        <v>DMM2150</v>
      </c>
      <c r="G914" t="str">
        <f>"CYBOND# 55"</f>
        <v>CYBOND# 55</v>
      </c>
      <c r="H914" t="str">
        <f>"vvazquez"</f>
        <v>vvazquez</v>
      </c>
      <c r="I914" t="str">
        <f>"023"</f>
        <v>023</v>
      </c>
      <c r="J914" t="str">
        <f t="shared" si="215"/>
        <v>N</v>
      </c>
    </row>
    <row r="915" spans="1:10">
      <c r="A915" t="str">
        <f>"LE-011-01987"</f>
        <v>LE-011-01987</v>
      </c>
      <c r="B915" t="str">
        <f t="shared" si="216"/>
        <v>ACT</v>
      </c>
      <c r="C915" t="str">
        <f>"43"</f>
        <v>43</v>
      </c>
      <c r="D915" t="str">
        <f>"TQP01820"</f>
        <v>TQP01820</v>
      </c>
      <c r="E915" t="str">
        <f>"AB17661"</f>
        <v>AB17661</v>
      </c>
      <c r="F915" t="str">
        <f>"DMM2150"</f>
        <v>DMM2150</v>
      </c>
      <c r="G915" t="str">
        <f>"CYBOND# 58"</f>
        <v>CYBOND# 58</v>
      </c>
      <c r="H915" t="str">
        <f>"vvazquez"</f>
        <v>vvazquez</v>
      </c>
      <c r="I915" t="str">
        <f>"023"</f>
        <v>023</v>
      </c>
      <c r="J915" t="str">
        <f t="shared" si="215"/>
        <v>N</v>
      </c>
    </row>
    <row r="916" spans="1:10">
      <c r="A916" t="str">
        <f>"LE-003-00793"</f>
        <v>LE-003-00793</v>
      </c>
      <c r="B916" t="str">
        <f t="shared" si="216"/>
        <v>ACT</v>
      </c>
      <c r="C916" t="str">
        <f>"09"</f>
        <v>09</v>
      </c>
      <c r="D916" t="str">
        <f>"N/A"</f>
        <v>N/A</v>
      </c>
      <c r="E916" t="str">
        <f>"HJ3100-01069"</f>
        <v>HJ3100-01069</v>
      </c>
      <c r="F916" t="str">
        <f>"HJ3100"</f>
        <v>HJ3100</v>
      </c>
      <c r="G916" t="str">
        <f>"FUME EXTRACTION  -FLEX ATTACH"</f>
        <v>FUME EXTRACTION  -FLEX ATTACH</v>
      </c>
      <c r="H916" t="str">
        <f>"mtorres"</f>
        <v>mtorres</v>
      </c>
      <c r="I916" t="str">
        <f>"034"</f>
        <v>034</v>
      </c>
      <c r="J916" t="str">
        <f t="shared" si="215"/>
        <v>N</v>
      </c>
    </row>
    <row r="917" spans="1:10">
      <c r="A917" t="str">
        <f>"LE-003-00792"</f>
        <v>LE-003-00792</v>
      </c>
      <c r="B917" t="str">
        <f t="shared" si="216"/>
        <v>ACT</v>
      </c>
      <c r="C917" t="str">
        <f>"31"</f>
        <v>31</v>
      </c>
      <c r="D917" t="str">
        <f>"N/A"</f>
        <v>N/A</v>
      </c>
      <c r="E917" t="str">
        <f>"HJ3100-01057"</f>
        <v>HJ3100-01057</v>
      </c>
      <c r="F917" t="str">
        <f>"HJ3100"</f>
        <v>HJ3100</v>
      </c>
      <c r="G917" t="str">
        <f>"FUME EXTRACTION"</f>
        <v>FUME EXTRACTION</v>
      </c>
      <c r="H917" t="str">
        <f>"jhernandez"</f>
        <v>jhernandez</v>
      </c>
      <c r="I917" t="str">
        <f>"034"</f>
        <v>034</v>
      </c>
      <c r="J917" t="str">
        <f t="shared" si="215"/>
        <v>N</v>
      </c>
    </row>
    <row r="918" spans="1:10">
      <c r="A918" t="str">
        <f>"LE-041-00876"</f>
        <v>LE-041-00876</v>
      </c>
      <c r="B918" t="str">
        <f t="shared" si="216"/>
        <v>ACT</v>
      </c>
      <c r="C918" t="str">
        <f>"13"</f>
        <v>13</v>
      </c>
      <c r="D918" t="str">
        <f>"TQP12406"</f>
        <v>TQP12406</v>
      </c>
      <c r="E918" t="str">
        <f>"Z9913094"</f>
        <v>Z9913094</v>
      </c>
      <c r="F918" t="str">
        <f>"Z-2-033-033-H/AC"</f>
        <v>Z-2-033-033-H/AC</v>
      </c>
      <c r="G918" t="str">
        <f>"THERMAL SHOCK CHAMBER"</f>
        <v>THERMAL SHOCK CHAMBER</v>
      </c>
      <c r="H918" t="str">
        <f>"jmarmolejo"</f>
        <v>jmarmolejo</v>
      </c>
      <c r="I918" t="str">
        <f>"130"</f>
        <v>130</v>
      </c>
      <c r="J918" t="str">
        <f t="shared" si="215"/>
        <v>N</v>
      </c>
    </row>
    <row r="919" spans="1:10">
      <c r="A919" t="str">
        <f>"LE-041-00874"</f>
        <v>LE-041-00874</v>
      </c>
      <c r="B919" t="str">
        <f t="shared" si="216"/>
        <v>ACT</v>
      </c>
      <c r="C919" t="str">
        <f>"30"</f>
        <v>30</v>
      </c>
      <c r="D919" t="str">
        <f>"TQP00161"</f>
        <v>TQP00161</v>
      </c>
      <c r="E919" t="str">
        <f>"Z9832937"</f>
        <v>Z9832937</v>
      </c>
      <c r="F919" t="str">
        <f>"Z-2-033-033-H/AC"</f>
        <v>Z-2-033-033-H/AC</v>
      </c>
      <c r="G919" t="str">
        <f>"THERMAL SHOCK CHAMBER"</f>
        <v>THERMAL SHOCK CHAMBER</v>
      </c>
      <c r="H919" t="str">
        <f>"jcastaneda"</f>
        <v>jcastaneda</v>
      </c>
      <c r="I919" t="str">
        <f>"130"</f>
        <v>130</v>
      </c>
      <c r="J919" t="str">
        <f t="shared" si="215"/>
        <v>N</v>
      </c>
    </row>
    <row r="920" spans="1:10">
      <c r="A920" t="str">
        <f>"0718TO21"</f>
        <v>0718TO21</v>
      </c>
      <c r="B920" t="str">
        <f>"INACT"</f>
        <v>INACT</v>
      </c>
      <c r="C920" t="str">
        <f>"27"</f>
        <v>27</v>
      </c>
      <c r="D920" t="str">
        <f>"TQP20501"</f>
        <v>TQP20501</v>
      </c>
      <c r="E920" t="str">
        <f t="shared" ref="E920:F922" si="217">"N/A"</f>
        <v>N/A</v>
      </c>
      <c r="F920" t="str">
        <f t="shared" si="217"/>
        <v>N/A</v>
      </c>
      <c r="G920" t="str">
        <f>"EQUIPO DE PRUEBA FINAL ST 1310"</f>
        <v>EQUIPO DE PRUEBA FINAL ST 1310</v>
      </c>
      <c r="H920" t="str">
        <f>"hramos"</f>
        <v>hramos</v>
      </c>
      <c r="I920" t="str">
        <f>"081"</f>
        <v>081</v>
      </c>
      <c r="J920" t="str">
        <f t="shared" si="215"/>
        <v>N</v>
      </c>
    </row>
    <row r="921" spans="1:10">
      <c r="A921" t="str">
        <f>"1018EN00"</f>
        <v>1018EN00</v>
      </c>
      <c r="B921" t="str">
        <f t="shared" ref="B921:B947" si="218">"ACT"</f>
        <v>ACT</v>
      </c>
      <c r="C921" t="str">
        <f>"37"</f>
        <v>37</v>
      </c>
      <c r="D921" t="str">
        <f>"N/A"</f>
        <v>N/A</v>
      </c>
      <c r="E921" t="str">
        <f t="shared" si="217"/>
        <v>N/A</v>
      </c>
      <c r="F921" t="str">
        <f t="shared" si="217"/>
        <v>N/A</v>
      </c>
      <c r="G921" t="str">
        <f>"TEST SET MTLIV #08"</f>
        <v>TEST SET MTLIV #08</v>
      </c>
      <c r="H921" t="str">
        <f>"jgallo"</f>
        <v>jgallo</v>
      </c>
      <c r="I921" t="str">
        <f>"081"</f>
        <v>081</v>
      </c>
      <c r="J921" t="str">
        <f t="shared" si="215"/>
        <v>N</v>
      </c>
    </row>
    <row r="922" spans="1:10">
      <c r="A922" t="str">
        <f>"1106QP06"</f>
        <v>1106QP06</v>
      </c>
      <c r="B922" t="str">
        <f t="shared" si="218"/>
        <v>ACT</v>
      </c>
      <c r="C922" t="str">
        <f>"33"</f>
        <v>33</v>
      </c>
      <c r="D922" t="str">
        <f>"CYP2321"</f>
        <v>CYP2321</v>
      </c>
      <c r="E922" t="str">
        <f t="shared" si="217"/>
        <v>N/A</v>
      </c>
      <c r="F922" t="str">
        <f t="shared" si="217"/>
        <v>N/A</v>
      </c>
      <c r="G922" t="str">
        <f>"SCREENING ELECTRICO PM"</f>
        <v>SCREENING ELECTRICO PM</v>
      </c>
      <c r="H922" t="str">
        <f>"jcastaneda"</f>
        <v>jcastaneda</v>
      </c>
      <c r="I922" t="str">
        <f>"081"</f>
        <v>081</v>
      </c>
      <c r="J922" t="str">
        <f t="shared" si="215"/>
        <v>N</v>
      </c>
    </row>
    <row r="923" spans="1:10">
      <c r="A923" t="str">
        <f>"1125OS01"</f>
        <v>1125OS01</v>
      </c>
      <c r="B923" t="str">
        <f t="shared" si="218"/>
        <v>ACT</v>
      </c>
      <c r="C923" t="str">
        <f>"13"</f>
        <v>13</v>
      </c>
      <c r="D923" t="str">
        <f>"N/A"</f>
        <v>N/A</v>
      </c>
      <c r="E923" t="str">
        <f>"AB15816"</f>
        <v>AB15816</v>
      </c>
      <c r="F923" t="str">
        <f>"DMM2150"</f>
        <v>DMM2150</v>
      </c>
      <c r="G923" t="str">
        <f>"CYBONDER  OSA  #  36"</f>
        <v>CYBONDER  OSA  #  36</v>
      </c>
      <c r="H923" t="str">
        <f>"vvazquez"</f>
        <v>vvazquez</v>
      </c>
      <c r="I923" t="str">
        <f>"023"</f>
        <v>023</v>
      </c>
      <c r="J923" t="str">
        <f t="shared" si="215"/>
        <v>N</v>
      </c>
    </row>
    <row r="924" spans="1:10">
      <c r="A924" t="str">
        <f>"1249FC02"</f>
        <v>1249FC02</v>
      </c>
      <c r="B924" t="str">
        <f t="shared" si="218"/>
        <v>ACT</v>
      </c>
      <c r="C924" t="str">
        <f>"16"</f>
        <v>16</v>
      </c>
      <c r="D924" t="str">
        <f>"NA"</f>
        <v>NA</v>
      </c>
      <c r="E924" t="str">
        <f>"NA"</f>
        <v>NA</v>
      </c>
      <c r="F924" t="str">
        <f>"NA"</f>
        <v>NA</v>
      </c>
      <c r="G924" t="str">
        <f>"PLATAFORMA  DE CHIMENEAS 3 &amp; 4"</f>
        <v>PLATAFORMA  DE CHIMENEAS 3 &amp; 4</v>
      </c>
      <c r="H924" t="str">
        <f>"jmaldonado"</f>
        <v>jmaldonado</v>
      </c>
      <c r="I924" t="str">
        <f>"081"</f>
        <v>081</v>
      </c>
      <c r="J924" t="str">
        <f t="shared" si="215"/>
        <v>N</v>
      </c>
    </row>
    <row r="925" spans="1:10">
      <c r="A925" t="str">
        <f>"1309EN00"</f>
        <v>1309EN00</v>
      </c>
      <c r="B925" t="str">
        <f t="shared" si="218"/>
        <v>ACT</v>
      </c>
      <c r="C925" t="str">
        <f>"09"</f>
        <v>09</v>
      </c>
      <c r="D925" t="str">
        <f>"N/A"</f>
        <v>N/A</v>
      </c>
      <c r="E925" t="str">
        <f>"N/A"</f>
        <v>N/A</v>
      </c>
      <c r="F925" t="str">
        <f>"N/A"</f>
        <v>N/A</v>
      </c>
      <c r="G925" t="str">
        <f>"MSA WELDING NEST AOI #21"</f>
        <v>MSA WELDING NEST AOI #21</v>
      </c>
      <c r="H925" t="str">
        <f>"ecerda"</f>
        <v>ecerda</v>
      </c>
      <c r="I925" t="str">
        <f>"081"</f>
        <v>081</v>
      </c>
      <c r="J925" t="str">
        <f t="shared" si="215"/>
        <v>N</v>
      </c>
    </row>
    <row r="926" spans="1:10">
      <c r="A926" t="str">
        <f>"1309QP01"</f>
        <v>1309QP01</v>
      </c>
      <c r="B926" t="str">
        <f t="shared" si="218"/>
        <v>ACT</v>
      </c>
      <c r="C926" t="str">
        <f>"33"</f>
        <v>33</v>
      </c>
      <c r="D926" t="str">
        <f>"N/A"</f>
        <v>N/A</v>
      </c>
      <c r="E926" t="str">
        <f>"CT-99RD0015"</f>
        <v>CT-99RD0015</v>
      </c>
      <c r="F926" t="str">
        <f>"N/A"</f>
        <v>N/A</v>
      </c>
      <c r="G926" t="str">
        <f>"CORTADORA DETERMINALES 2MM PM-PACK"</f>
        <v>CORTADORA DETERMINALES 2MM PM-PACK</v>
      </c>
      <c r="H926" t="str">
        <f>"ecerda"</f>
        <v>ecerda</v>
      </c>
      <c r="I926" t="str">
        <f>"081"</f>
        <v>081</v>
      </c>
      <c r="J926" t="str">
        <f t="shared" si="215"/>
        <v>N</v>
      </c>
    </row>
    <row r="927" spans="1:10">
      <c r="A927" t="str">
        <f>"1309QP02"</f>
        <v>1309QP02</v>
      </c>
      <c r="B927" t="str">
        <f t="shared" si="218"/>
        <v>ACT</v>
      </c>
      <c r="C927" t="str">
        <f>"33"</f>
        <v>33</v>
      </c>
      <c r="D927" t="str">
        <f>"N/A"</f>
        <v>N/A</v>
      </c>
      <c r="E927" t="str">
        <f>"N/A"</f>
        <v>N/A</v>
      </c>
      <c r="F927" t="str">
        <f>"N/A"</f>
        <v>N/A</v>
      </c>
      <c r="G927" t="str">
        <f>"DC-TRIM  CORTE Y PREFORMADO PM-PACK"</f>
        <v>DC-TRIM  CORTE Y PREFORMADO PM-PACK</v>
      </c>
      <c r="H927" t="str">
        <f>"ecerda"</f>
        <v>ecerda</v>
      </c>
      <c r="I927" t="str">
        <f>"081"</f>
        <v>081</v>
      </c>
      <c r="J927" t="str">
        <f t="shared" si="215"/>
        <v>N</v>
      </c>
    </row>
    <row r="928" spans="1:10">
      <c r="A928" t="str">
        <f>"1309FC01"</f>
        <v>1309FC01</v>
      </c>
      <c r="B928" t="str">
        <f t="shared" si="218"/>
        <v>ACT</v>
      </c>
      <c r="C928" t="str">
        <f>"16"</f>
        <v>16</v>
      </c>
      <c r="D928" t="str">
        <f>"N/A"</f>
        <v>N/A</v>
      </c>
      <c r="E928" t="str">
        <f>"C95907"</f>
        <v>C95907</v>
      </c>
      <c r="F928" t="str">
        <f>"IA11/2-71/2-2"</f>
        <v>IA11/2-71/2-2</v>
      </c>
      <c r="G928" t="str">
        <f>"WATER PUMP CUARTO  DE BOMBAS #2"</f>
        <v>WATER PUMP CUARTO  DE BOMBAS #2</v>
      </c>
      <c r="H928" t="str">
        <f>"caramirez"</f>
        <v>caramirez</v>
      </c>
      <c r="I928" t="str">
        <f>"106"</f>
        <v>106</v>
      </c>
      <c r="J928" t="str">
        <f t="shared" si="215"/>
        <v>N</v>
      </c>
    </row>
    <row r="929" spans="1:10">
      <c r="A929" t="str">
        <f>"1309FC02"</f>
        <v>1309FC02</v>
      </c>
      <c r="B929" t="str">
        <f t="shared" si="218"/>
        <v>ACT</v>
      </c>
      <c r="C929" t="str">
        <f>"16"</f>
        <v>16</v>
      </c>
      <c r="D929" t="str">
        <f>"TQP04382"</f>
        <v>TQP04382</v>
      </c>
      <c r="E929" t="str">
        <f>"AIF-079500"</f>
        <v>AIF-079500</v>
      </c>
      <c r="F929" t="str">
        <f>"ZT90"</f>
        <v>ZT90</v>
      </c>
      <c r="G929" t="str">
        <f>"COMPRESSOR ATLAS COPCO#3"</f>
        <v>COMPRESSOR ATLAS COPCO#3</v>
      </c>
      <c r="H929" t="str">
        <f>"caramirez"</f>
        <v>caramirez</v>
      </c>
      <c r="I929" t="str">
        <f>"011"</f>
        <v>011</v>
      </c>
      <c r="J929" t="str">
        <f t="shared" si="215"/>
        <v>N</v>
      </c>
    </row>
    <row r="930" spans="1:10">
      <c r="A930" t="str">
        <f>"1325LR02"</f>
        <v>1325LR02</v>
      </c>
      <c r="B930" t="str">
        <f t="shared" si="218"/>
        <v>ACT</v>
      </c>
      <c r="C930" t="str">
        <f>"43"</f>
        <v>43</v>
      </c>
      <c r="D930" t="str">
        <f>"TQP18372"</f>
        <v>TQP18372</v>
      </c>
      <c r="E930" t="str">
        <f>"1333583"</f>
        <v>1333583</v>
      </c>
      <c r="F930" t="str">
        <f>"IG-25-2-M"</f>
        <v>IG-25-2-M</v>
      </c>
      <c r="G930" t="str">
        <f>"CYBOND #49"</f>
        <v>CYBOND #49</v>
      </c>
      <c r="H930" t="str">
        <f>"vvazquez"</f>
        <v>vvazquez</v>
      </c>
      <c r="I930" t="str">
        <f>"051"</f>
        <v>051</v>
      </c>
      <c r="J930" t="str">
        <f t="shared" si="215"/>
        <v>N</v>
      </c>
    </row>
    <row r="931" spans="1:10">
      <c r="A931" t="str">
        <f>"1335LR02"</f>
        <v>1335LR02</v>
      </c>
      <c r="B931" t="str">
        <f t="shared" si="218"/>
        <v>ACT</v>
      </c>
      <c r="C931" t="str">
        <f>"36"</f>
        <v>36</v>
      </c>
      <c r="D931" t="str">
        <f>"N/A"</f>
        <v>N/A</v>
      </c>
      <c r="E931" t="str">
        <f>"PCM50011120008"</f>
        <v>PCM50011120008</v>
      </c>
      <c r="F931" t="str">
        <f>"CM-500A"</f>
        <v>CM-500A</v>
      </c>
      <c r="G931" t="str">
        <f>"ESD CONSTANT MONITOR -CYWELD3A003"</f>
        <v>ESD CONSTANT MONITOR -CYWELD3A003</v>
      </c>
      <c r="H931" t="str">
        <f>"gramirez"</f>
        <v>gramirez</v>
      </c>
      <c r="I931" t="str">
        <f>"058"</f>
        <v>058</v>
      </c>
      <c r="J931" t="str">
        <f t="shared" si="215"/>
        <v>N</v>
      </c>
    </row>
    <row r="932" spans="1:10">
      <c r="A932" t="str">
        <f>"LE-079-00388"</f>
        <v>LE-079-00388</v>
      </c>
      <c r="B932" t="str">
        <f t="shared" si="218"/>
        <v>ACT</v>
      </c>
      <c r="C932" t="str">
        <f>"33"</f>
        <v>33</v>
      </c>
      <c r="D932" t="str">
        <f>"TQP01849"</f>
        <v>TQP01849</v>
      </c>
      <c r="E932" t="str">
        <f>"980510"</f>
        <v>980510</v>
      </c>
      <c r="F932" t="str">
        <f>"FX-5040"</f>
        <v>FX-5040</v>
      </c>
      <c r="G932" t="str">
        <f>"WELDER CYWELD5A001"</f>
        <v>WELDER CYWELD5A001</v>
      </c>
      <c r="H932" t="str">
        <f>"gramirez"</f>
        <v>gramirez</v>
      </c>
      <c r="I932" t="str">
        <f>"078"</f>
        <v>078</v>
      </c>
      <c r="J932" t="str">
        <f t="shared" si="215"/>
        <v>N</v>
      </c>
    </row>
    <row r="933" spans="1:10">
      <c r="A933" t="str">
        <f>"1344OS01"</f>
        <v>1344OS01</v>
      </c>
      <c r="B933" t="str">
        <f t="shared" si="218"/>
        <v>ACT</v>
      </c>
      <c r="C933" t="str">
        <f>"13"</f>
        <v>13</v>
      </c>
      <c r="D933" t="str">
        <f>"TQP18470"</f>
        <v>TQP18470</v>
      </c>
      <c r="E933" t="str">
        <f>"1476355"</f>
        <v>1476355</v>
      </c>
      <c r="F933" t="str">
        <f>"IG-25-2-M"</f>
        <v>IG-25-2-M</v>
      </c>
      <c r="G933" t="str">
        <f>"CYBOND # 71"</f>
        <v>CYBOND # 71</v>
      </c>
      <c r="H933" t="str">
        <f>"josue.e.gonzalez"</f>
        <v>josue.e.gonzalez</v>
      </c>
      <c r="I933" t="str">
        <f>"051"</f>
        <v>051</v>
      </c>
      <c r="J933" t="str">
        <f t="shared" si="215"/>
        <v>N</v>
      </c>
    </row>
    <row r="934" spans="1:10">
      <c r="A934" t="str">
        <f>"1434QA00"</f>
        <v>1434QA00</v>
      </c>
      <c r="B934" t="str">
        <f t="shared" si="218"/>
        <v>ACT</v>
      </c>
      <c r="C934" t="str">
        <f>"36"</f>
        <v>36</v>
      </c>
      <c r="D934" t="str">
        <f t="shared" ref="D934:D939" si="219">"N/A"</f>
        <v>N/A</v>
      </c>
      <c r="E934" t="str">
        <f>"PCM50011130005"</f>
        <v>PCM50011130005</v>
      </c>
      <c r="F934" t="str">
        <f>"CM-500A"</f>
        <v>CM-500A</v>
      </c>
      <c r="G934" t="str">
        <f>"ESD CONSTANT MONITOR  CYB LR4 100GB"</f>
        <v>ESD CONSTANT MONITOR  CYB LR4 100GB</v>
      </c>
      <c r="H934" t="str">
        <f>"zfernandez"</f>
        <v>zfernandez</v>
      </c>
      <c r="I934" t="str">
        <f>"058"</f>
        <v>058</v>
      </c>
      <c r="J934" t="str">
        <f t="shared" si="215"/>
        <v>N</v>
      </c>
    </row>
    <row r="935" spans="1:10">
      <c r="A935" t="str">
        <f>"1434QA01"</f>
        <v>1434QA01</v>
      </c>
      <c r="B935" t="str">
        <f t="shared" si="218"/>
        <v>ACT</v>
      </c>
      <c r="C935" t="str">
        <f>"36"</f>
        <v>36</v>
      </c>
      <c r="D935" t="str">
        <f t="shared" si="219"/>
        <v>N/A</v>
      </c>
      <c r="E935" t="str">
        <f>"PCM50011130001"</f>
        <v>PCM50011130001</v>
      </c>
      <c r="F935" t="str">
        <f>"CM-500A"</f>
        <v>CM-500A</v>
      </c>
      <c r="G935" t="str">
        <f>"ESD CONSTANT MONITOR  CYB LR4 100GB"</f>
        <v>ESD CONSTANT MONITOR  CYB LR4 100GB</v>
      </c>
      <c r="H935" t="str">
        <f>"zfernandez"</f>
        <v>zfernandez</v>
      </c>
      <c r="I935" t="str">
        <f>"058"</f>
        <v>058</v>
      </c>
      <c r="J935" t="str">
        <f t="shared" si="215"/>
        <v>N</v>
      </c>
    </row>
    <row r="936" spans="1:10">
      <c r="A936" t="str">
        <f>"0442FR011"</f>
        <v>0442FR011</v>
      </c>
      <c r="B936" t="str">
        <f t="shared" si="218"/>
        <v>ACT</v>
      </c>
      <c r="C936" t="str">
        <f>"16"</f>
        <v>16</v>
      </c>
      <c r="D936" t="str">
        <f t="shared" si="219"/>
        <v>N/A</v>
      </c>
      <c r="E936" t="str">
        <f>"02676003FK"</f>
        <v>02676003FK</v>
      </c>
      <c r="F936" t="str">
        <f>"CH4 K0"</f>
        <v>CH4 K0</v>
      </c>
      <c r="G936" t="str">
        <f>"FREEZER TOROREY ALMACEN"</f>
        <v>FREEZER TOROREY ALMACEN</v>
      </c>
      <c r="H936" t="str">
        <f>"alopez"</f>
        <v>alopez</v>
      </c>
      <c r="I936" t="str">
        <f>"060"</f>
        <v>060</v>
      </c>
      <c r="J936" t="str">
        <f t="shared" si="215"/>
        <v>N</v>
      </c>
    </row>
    <row r="937" spans="1:10">
      <c r="A937" t="str">
        <f>"LE-003-00789"</f>
        <v>LE-003-00789</v>
      </c>
      <c r="B937" t="str">
        <f t="shared" si="218"/>
        <v>ACT</v>
      </c>
      <c r="C937" t="str">
        <f>"45"</f>
        <v>45</v>
      </c>
      <c r="D937" t="str">
        <f t="shared" si="219"/>
        <v>N/A</v>
      </c>
      <c r="E937" t="str">
        <f>"HJ3100-01107"</f>
        <v>HJ3100-01107</v>
      </c>
      <c r="F937" t="str">
        <f>"HJ3100"</f>
        <v>HJ3100</v>
      </c>
      <c r="G937" t="str">
        <f>"FUME EXTRACTION"</f>
        <v>FUME EXTRACTION</v>
      </c>
      <c r="H937" t="str">
        <f>"ageronimo"</f>
        <v>ageronimo</v>
      </c>
      <c r="I937" t="str">
        <f>"034"</f>
        <v>034</v>
      </c>
      <c r="J937" t="str">
        <f t="shared" si="215"/>
        <v>N</v>
      </c>
    </row>
    <row r="938" spans="1:10">
      <c r="A938" t="str">
        <f>"1027PG12"</f>
        <v>1027PG12</v>
      </c>
      <c r="B938" t="str">
        <f t="shared" si="218"/>
        <v>ACT</v>
      </c>
      <c r="C938" t="str">
        <f>"30"</f>
        <v>30</v>
      </c>
      <c r="D938" t="str">
        <f t="shared" si="219"/>
        <v>N/A</v>
      </c>
      <c r="E938" t="str">
        <f>"HJ3100-01064"</f>
        <v>HJ3100-01064</v>
      </c>
      <c r="F938" t="str">
        <f>"HJ3100"</f>
        <v>HJ3100</v>
      </c>
      <c r="G938" t="str">
        <f>"FUME EXTRACTION"</f>
        <v>FUME EXTRACTION</v>
      </c>
      <c r="H938" t="str">
        <f>"rramones"</f>
        <v>rramones</v>
      </c>
      <c r="I938" t="str">
        <f>"034"</f>
        <v>034</v>
      </c>
      <c r="J938" t="str">
        <f t="shared" si="215"/>
        <v>N</v>
      </c>
    </row>
    <row r="939" spans="1:10">
      <c r="A939" t="str">
        <f>"LE-003-00812"</f>
        <v>LE-003-00812</v>
      </c>
      <c r="B939" t="str">
        <f t="shared" si="218"/>
        <v>ACT</v>
      </c>
      <c r="C939" t="str">
        <f>"09"</f>
        <v>09</v>
      </c>
      <c r="D939" t="str">
        <f t="shared" si="219"/>
        <v>N/A</v>
      </c>
      <c r="E939" t="str">
        <f>"HJ3100-01055"</f>
        <v>HJ3100-01055</v>
      </c>
      <c r="F939" t="str">
        <f>"HJ3100"</f>
        <v>HJ3100</v>
      </c>
      <c r="G939" t="str">
        <f>"FUME EXTRACTION SELLADO DE FIBRA"</f>
        <v>FUME EXTRACTION SELLADO DE FIBRA</v>
      </c>
      <c r="H939" t="str">
        <f>"ecerda"</f>
        <v>ecerda</v>
      </c>
      <c r="I939" t="str">
        <f>"034"</f>
        <v>034</v>
      </c>
      <c r="J939" t="str">
        <f t="shared" si="215"/>
        <v>N</v>
      </c>
    </row>
    <row r="940" spans="1:10">
      <c r="A940" t="str">
        <f>"LE-041-00674"</f>
        <v>LE-041-00674</v>
      </c>
      <c r="B940" t="str">
        <f t="shared" si="218"/>
        <v>ACT</v>
      </c>
      <c r="C940" t="str">
        <f>"48"</f>
        <v>48</v>
      </c>
      <c r="D940" t="str">
        <f>"TQP12768"</f>
        <v>TQP12768</v>
      </c>
      <c r="E940" t="str">
        <f>"N15J-418311-NJ"</f>
        <v>N15J-418311-NJ</v>
      </c>
      <c r="F940" t="str">
        <f>"ULT390-9-A30"</f>
        <v>ULT390-9-A30</v>
      </c>
      <c r="G940" t="str">
        <f>"FREEZER AREA DE PRODUCCION"</f>
        <v>FREEZER AREA DE PRODUCCION</v>
      </c>
      <c r="H940" t="str">
        <f>"ahernandez"</f>
        <v>ahernandez</v>
      </c>
      <c r="I940" t="str">
        <f>"060"</f>
        <v>060</v>
      </c>
      <c r="J940" t="str">
        <f t="shared" si="215"/>
        <v>N</v>
      </c>
    </row>
    <row r="941" spans="1:10">
      <c r="A941" t="str">
        <f>"0751TO07"</f>
        <v>0751TO07</v>
      </c>
      <c r="B941" t="str">
        <f t="shared" si="218"/>
        <v>ACT</v>
      </c>
      <c r="C941" t="str">
        <f>"16"</f>
        <v>16</v>
      </c>
      <c r="D941" t="str">
        <f>"CYP2204"</f>
        <v>CYP2204</v>
      </c>
      <c r="E941" t="str">
        <f>"6743"</f>
        <v>6743</v>
      </c>
      <c r="F941" t="str">
        <f>"45-6-8"</f>
        <v>45-6-8</v>
      </c>
      <c r="G941" t="str">
        <f>"FREEZER"</f>
        <v>FREEZER</v>
      </c>
      <c r="H941" t="str">
        <f>"alopez"</f>
        <v>alopez</v>
      </c>
      <c r="I941" t="str">
        <f>"060"</f>
        <v>060</v>
      </c>
      <c r="J941" t="str">
        <f t="shared" si="215"/>
        <v>N</v>
      </c>
    </row>
    <row r="942" spans="1:10">
      <c r="A942" t="str">
        <f>"LE-010-27618"</f>
        <v>LE-010-27618</v>
      </c>
      <c r="B942" t="str">
        <f t="shared" si="218"/>
        <v>ACT</v>
      </c>
      <c r="C942" t="str">
        <f>"16"</f>
        <v>16</v>
      </c>
      <c r="D942" t="str">
        <f>"N/A"</f>
        <v>N/A</v>
      </c>
      <c r="E942" t="str">
        <f>"99150008"</f>
        <v>99150008</v>
      </c>
      <c r="F942" t="str">
        <f>"CM-50"</f>
        <v>CM-50</v>
      </c>
      <c r="G942" t="str">
        <f>"PRODUCTION EXTRACTOR CHIMENEA#1"</f>
        <v>PRODUCTION EXTRACTOR CHIMENEA#1</v>
      </c>
      <c r="H942" t="str">
        <f>"jmaldonado"</f>
        <v>jmaldonado</v>
      </c>
      <c r="I942" t="str">
        <f>"064"</f>
        <v>064</v>
      </c>
      <c r="J942" t="str">
        <f t="shared" si="215"/>
        <v>N</v>
      </c>
    </row>
    <row r="943" spans="1:10">
      <c r="A943" t="str">
        <f>"LE-010-28113"</f>
        <v>LE-010-28113</v>
      </c>
      <c r="B943" t="str">
        <f t="shared" si="218"/>
        <v>ACT</v>
      </c>
      <c r="C943" t="str">
        <f>"16"</f>
        <v>16</v>
      </c>
      <c r="D943" t="str">
        <f>"N/A"</f>
        <v>N/A</v>
      </c>
      <c r="E943" t="str">
        <f>"FR184T62062ZJC3"</f>
        <v>FR184T62062ZJC3</v>
      </c>
      <c r="F943" t="str">
        <f>"3KW34C"</f>
        <v>3KW34C</v>
      </c>
      <c r="G943" t="str">
        <f>"PRODUCTION EXTRACTOR CHIMENEA#2"</f>
        <v>PRODUCTION EXTRACTOR CHIMENEA#2</v>
      </c>
      <c r="H943" t="str">
        <f>"jmaldonado"</f>
        <v>jmaldonado</v>
      </c>
      <c r="I943" t="str">
        <f>"114"</f>
        <v>114</v>
      </c>
      <c r="J943" t="str">
        <f t="shared" si="215"/>
        <v>N</v>
      </c>
    </row>
    <row r="944" spans="1:10">
      <c r="A944" t="str">
        <f>"LE-003-00786"</f>
        <v>LE-003-00786</v>
      </c>
      <c r="B944" t="str">
        <f t="shared" si="218"/>
        <v>ACT</v>
      </c>
      <c r="C944" t="str">
        <f>"05"</f>
        <v>05</v>
      </c>
      <c r="D944" t="str">
        <f>"N/A"</f>
        <v>N/A</v>
      </c>
      <c r="E944" t="str">
        <f>"HJ3100-01104"</f>
        <v>HJ3100-01104</v>
      </c>
      <c r="F944" t="str">
        <f>"HJ3100"</f>
        <v>HJ3100</v>
      </c>
      <c r="G944" t="str">
        <f>"FUME EXTRACTION"</f>
        <v>FUME EXTRACTION</v>
      </c>
      <c r="H944" t="str">
        <f>"ahernandez"</f>
        <v>ahernandez</v>
      </c>
      <c r="I944" t="str">
        <f>"034"</f>
        <v>034</v>
      </c>
      <c r="J944" t="str">
        <f t="shared" si="215"/>
        <v>N</v>
      </c>
    </row>
    <row r="945" spans="1:10">
      <c r="A945" t="str">
        <f>"1027PG11"</f>
        <v>1027PG11</v>
      </c>
      <c r="B945" t="str">
        <f t="shared" si="218"/>
        <v>ACT</v>
      </c>
      <c r="C945" t="str">
        <f>"30"</f>
        <v>30</v>
      </c>
      <c r="D945" t="str">
        <f>"N/A"</f>
        <v>N/A</v>
      </c>
      <c r="E945" t="str">
        <f>"HJ3100-01098"</f>
        <v>HJ3100-01098</v>
      </c>
      <c r="F945" t="str">
        <f>"HJ3100"</f>
        <v>HJ3100</v>
      </c>
      <c r="G945" t="str">
        <f>"FUME EXTRACTION  "</f>
        <v xml:space="preserve">FUME EXTRACTION  </v>
      </c>
      <c r="H945" t="str">
        <f>"rramones"</f>
        <v>rramones</v>
      </c>
      <c r="I945" t="str">
        <f>"034"</f>
        <v>034</v>
      </c>
      <c r="J945" t="str">
        <f t="shared" si="215"/>
        <v>N</v>
      </c>
    </row>
    <row r="946" spans="1:10">
      <c r="A946" t="str">
        <f>"1429OS00"</f>
        <v>1429OS00</v>
      </c>
      <c r="B946" t="str">
        <f t="shared" si="218"/>
        <v>ACT</v>
      </c>
      <c r="C946" t="str">
        <f>"13"</f>
        <v>13</v>
      </c>
      <c r="D946" t="str">
        <f>"1073575"</f>
        <v>1073575</v>
      </c>
      <c r="E946" t="str">
        <f>"N/A"</f>
        <v>N/A</v>
      </c>
      <c r="F946" t="str">
        <f>"N/A"</f>
        <v>N/A</v>
      </c>
      <c r="G946" t="str">
        <f>"OSA FUNCTIONAL 25G  (CYTETS#27)"</f>
        <v>OSA FUNCTIONAL 25G  (CYTETS#27)</v>
      </c>
      <c r="H946" t="str">
        <f>"mcampos"</f>
        <v>mcampos</v>
      </c>
      <c r="I946" t="str">
        <f>"081"</f>
        <v>081</v>
      </c>
      <c r="J946" t="str">
        <f t="shared" si="215"/>
        <v>N</v>
      </c>
    </row>
    <row r="947" spans="1:10">
      <c r="A947" t="str">
        <f>"1434QA02"</f>
        <v>1434QA02</v>
      </c>
      <c r="B947" t="str">
        <f t="shared" si="218"/>
        <v>ACT</v>
      </c>
      <c r="C947" t="str">
        <f>"13"</f>
        <v>13</v>
      </c>
      <c r="D947" t="str">
        <f>"N/A"</f>
        <v>N/A</v>
      </c>
      <c r="E947" t="str">
        <f>"PCM50007130001"</f>
        <v>PCM50007130001</v>
      </c>
      <c r="F947" t="str">
        <f>"CM-500A"</f>
        <v>CM-500A</v>
      </c>
      <c r="G947" t="str">
        <f>"ESD CONSTANT MONITOR  MESA-INSP-FIBEST"</f>
        <v>ESD CONSTANT MONITOR  MESA-INSP-FIBEST</v>
      </c>
      <c r="H947" t="str">
        <f>"zfernandez"</f>
        <v>zfernandez</v>
      </c>
      <c r="I947" t="str">
        <f>"058"</f>
        <v>058</v>
      </c>
      <c r="J947" t="str">
        <f t="shared" si="215"/>
        <v>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SQLT0018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Campos</dc:creator>
  <cp:lastModifiedBy>macampos</cp:lastModifiedBy>
  <dcterms:created xsi:type="dcterms:W3CDTF">2014-07-22T04:23:15Z</dcterms:created>
  <dcterms:modified xsi:type="dcterms:W3CDTF">2014-07-22T04:23:15Z</dcterms:modified>
</cp:coreProperties>
</file>