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44" windowWidth="22980" windowHeight="9528"/>
  </bookViews>
  <sheets>
    <sheet name="SQLT0013" sheetId="1" r:id="rId1"/>
  </sheets>
  <calcPr calcId="0"/>
</workbook>
</file>

<file path=xl/calcChain.xml><?xml version="1.0" encoding="utf-8"?>
<calcChain xmlns="http://schemas.openxmlformats.org/spreadsheetml/2006/main">
  <c r="A1" i="1"/>
  <c r="B1"/>
  <c r="C1"/>
  <c r="D1"/>
  <c r="E1"/>
  <c r="F1"/>
  <c r="G1"/>
  <c r="H1"/>
  <c r="A2"/>
  <c r="B2"/>
  <c r="C2"/>
  <c r="D2"/>
  <c r="E2"/>
  <c r="F2"/>
  <c r="G2"/>
  <c r="H2"/>
  <c r="A3"/>
  <c r="B3"/>
  <c r="C3"/>
  <c r="D3"/>
  <c r="E3"/>
  <c r="F3"/>
  <c r="G3"/>
  <c r="H3"/>
  <c r="A4"/>
  <c r="B4"/>
  <c r="C4"/>
  <c r="D4"/>
  <c r="E4"/>
  <c r="F4"/>
  <c r="G4"/>
  <c r="H4"/>
  <c r="A5"/>
  <c r="B5"/>
  <c r="C5"/>
  <c r="D5"/>
  <c r="E5"/>
  <c r="F5"/>
  <c r="G5"/>
  <c r="H5"/>
  <c r="A6"/>
  <c r="B6"/>
  <c r="C6"/>
  <c r="D6"/>
  <c r="E6"/>
  <c r="F6"/>
  <c r="G6"/>
  <c r="H6"/>
  <c r="A7"/>
  <c r="B7"/>
  <c r="C7"/>
  <c r="D7"/>
  <c r="E7"/>
  <c r="F7"/>
  <c r="G7"/>
  <c r="H7"/>
  <c r="A8"/>
  <c r="B8"/>
  <c r="C8"/>
  <c r="D8"/>
  <c r="E8"/>
  <c r="F8"/>
  <c r="G8"/>
  <c r="H8"/>
  <c r="A9"/>
  <c r="B9"/>
  <c r="C9"/>
  <c r="D9"/>
  <c r="E9"/>
  <c r="F9"/>
  <c r="G9"/>
  <c r="H9"/>
  <c r="A10"/>
  <c r="B10"/>
  <c r="D10"/>
  <c r="E10"/>
  <c r="F10"/>
  <c r="G10"/>
  <c r="H10"/>
  <c r="A11"/>
  <c r="B11"/>
  <c r="C11"/>
  <c r="D11"/>
  <c r="E11"/>
  <c r="F11"/>
  <c r="G11"/>
  <c r="H11"/>
  <c r="A12"/>
  <c r="B12"/>
  <c r="C12"/>
  <c r="D12"/>
  <c r="E12"/>
  <c r="F12"/>
  <c r="G12"/>
  <c r="H12"/>
  <c r="A13"/>
  <c r="B13"/>
  <c r="C13"/>
  <c r="D13"/>
  <c r="E13"/>
  <c r="F13"/>
  <c r="G13"/>
  <c r="H13"/>
  <c r="A14"/>
  <c r="B14"/>
  <c r="C14"/>
  <c r="D14"/>
  <c r="E14"/>
  <c r="F14"/>
  <c r="G14"/>
  <c r="H14"/>
  <c r="A15"/>
  <c r="B15"/>
  <c r="D15"/>
  <c r="E15"/>
  <c r="F15"/>
  <c r="G15"/>
  <c r="H15"/>
  <c r="A16"/>
  <c r="B16"/>
  <c r="D16"/>
  <c r="E16"/>
  <c r="F16"/>
  <c r="G16"/>
  <c r="H16"/>
  <c r="A17"/>
  <c r="B17"/>
  <c r="D17"/>
  <c r="E17"/>
  <c r="F17"/>
  <c r="G17"/>
  <c r="H17"/>
  <c r="A18"/>
  <c r="B18"/>
  <c r="D18"/>
  <c r="E18"/>
  <c r="F18"/>
  <c r="G18"/>
  <c r="H18"/>
  <c r="A19"/>
  <c r="B19"/>
  <c r="D19"/>
  <c r="E19"/>
  <c r="F19"/>
  <c r="G19"/>
  <c r="H19"/>
  <c r="A20"/>
  <c r="B20"/>
  <c r="C20"/>
  <c r="D20"/>
  <c r="E20"/>
  <c r="F20"/>
  <c r="G20"/>
  <c r="H20"/>
  <c r="A21"/>
  <c r="B21"/>
  <c r="D21"/>
  <c r="E21"/>
  <c r="F21"/>
  <c r="G21"/>
  <c r="H21"/>
  <c r="A22"/>
  <c r="B22"/>
  <c r="D22"/>
  <c r="E22"/>
  <c r="F22"/>
  <c r="G22"/>
  <c r="H22"/>
  <c r="A23"/>
  <c r="B23"/>
  <c r="D23"/>
  <c r="E23"/>
  <c r="F23"/>
  <c r="G23"/>
  <c r="H23"/>
  <c r="A24"/>
  <c r="B24"/>
  <c r="D24"/>
  <c r="E24"/>
  <c r="F24"/>
  <c r="G24"/>
  <c r="H24"/>
  <c r="A25"/>
  <c r="B25"/>
  <c r="D25"/>
  <c r="E25"/>
  <c r="F25"/>
  <c r="G25"/>
  <c r="H25"/>
  <c r="A26"/>
  <c r="B26"/>
  <c r="C26"/>
  <c r="D26"/>
  <c r="E26"/>
  <c r="F26"/>
  <c r="G26"/>
  <c r="H26"/>
  <c r="A27"/>
  <c r="B27"/>
  <c r="C27"/>
  <c r="D27"/>
  <c r="E27"/>
  <c r="F27"/>
  <c r="G27"/>
  <c r="H27"/>
  <c r="A28"/>
  <c r="B28"/>
  <c r="D28"/>
  <c r="E28"/>
  <c r="F28"/>
  <c r="G28"/>
  <c r="H28"/>
  <c r="A29"/>
  <c r="B29"/>
  <c r="D29"/>
  <c r="E29"/>
  <c r="F29"/>
  <c r="G29"/>
  <c r="H29"/>
  <c r="A30"/>
  <c r="B30"/>
  <c r="D30"/>
  <c r="E30"/>
  <c r="F30"/>
  <c r="G30"/>
  <c r="H30"/>
  <c r="A31"/>
  <c r="B31"/>
  <c r="D31"/>
  <c r="E31"/>
  <c r="F31"/>
  <c r="G31"/>
  <c r="H31"/>
  <c r="A32"/>
  <c r="B32"/>
  <c r="D32"/>
  <c r="E32"/>
  <c r="F32"/>
  <c r="G32"/>
  <c r="H32"/>
  <c r="A33"/>
  <c r="B33"/>
  <c r="D33"/>
  <c r="E33"/>
  <c r="F33"/>
  <c r="G33"/>
  <c r="H33"/>
  <c r="A34"/>
  <c r="B34"/>
  <c r="D34"/>
  <c r="E34"/>
  <c r="F34"/>
  <c r="G34"/>
  <c r="H34"/>
  <c r="A35"/>
  <c r="B35"/>
  <c r="D35"/>
  <c r="E35"/>
  <c r="F35"/>
  <c r="G35"/>
  <c r="H35"/>
  <c r="A36"/>
  <c r="B36"/>
  <c r="D36"/>
  <c r="E36"/>
  <c r="F36"/>
  <c r="G36"/>
  <c r="H36"/>
  <c r="A37"/>
  <c r="B37"/>
  <c r="D37"/>
  <c r="E37"/>
  <c r="F37"/>
  <c r="G37"/>
  <c r="H37"/>
  <c r="A38"/>
  <c r="B38"/>
  <c r="D38"/>
  <c r="E38"/>
  <c r="F38"/>
  <c r="G38"/>
  <c r="H38"/>
  <c r="A39"/>
  <c r="B39"/>
  <c r="D39"/>
  <c r="E39"/>
  <c r="F39"/>
  <c r="G39"/>
  <c r="H39"/>
  <c r="A40"/>
  <c r="B40"/>
  <c r="C40"/>
  <c r="D40"/>
  <c r="E40"/>
  <c r="F40"/>
  <c r="G40"/>
  <c r="H40"/>
  <c r="A41"/>
  <c r="B41"/>
  <c r="D41"/>
  <c r="E41"/>
  <c r="F41"/>
  <c r="G41"/>
  <c r="H41"/>
  <c r="A42"/>
  <c r="B42"/>
  <c r="C42"/>
  <c r="D42"/>
  <c r="E42"/>
  <c r="F42"/>
  <c r="G42"/>
  <c r="H42"/>
  <c r="A43"/>
  <c r="B43"/>
  <c r="C43"/>
  <c r="D43"/>
  <c r="E43"/>
  <c r="F43"/>
  <c r="G43"/>
  <c r="H43"/>
  <c r="A44"/>
  <c r="B44"/>
  <c r="C44"/>
  <c r="D44"/>
  <c r="E44"/>
  <c r="F44"/>
  <c r="G44"/>
  <c r="H44"/>
  <c r="A45"/>
  <c r="B45"/>
  <c r="D45"/>
  <c r="E45"/>
  <c r="F45"/>
  <c r="G45"/>
  <c r="H45"/>
  <c r="A46"/>
  <c r="B46"/>
  <c r="D46"/>
  <c r="E46"/>
  <c r="F46"/>
  <c r="G46"/>
  <c r="H46"/>
  <c r="A47"/>
  <c r="B47"/>
  <c r="C47"/>
  <c r="D47"/>
  <c r="E47"/>
  <c r="F47"/>
  <c r="G47"/>
  <c r="H47"/>
  <c r="A48"/>
  <c r="B48"/>
  <c r="C48"/>
  <c r="D48"/>
  <c r="E48"/>
  <c r="F48"/>
  <c r="G48"/>
  <c r="H48"/>
  <c r="A49"/>
  <c r="B49"/>
  <c r="C49"/>
  <c r="D49"/>
  <c r="E49"/>
  <c r="F49"/>
  <c r="G49"/>
  <c r="H49"/>
  <c r="A50"/>
  <c r="B50"/>
  <c r="C50"/>
  <c r="D50"/>
  <c r="E50"/>
  <c r="F50"/>
  <c r="G50"/>
  <c r="H50"/>
  <c r="A51"/>
  <c r="B51"/>
  <c r="C51"/>
  <c r="D51"/>
  <c r="E51"/>
  <c r="F51"/>
  <c r="G51"/>
  <c r="H51"/>
  <c r="A52"/>
  <c r="B52"/>
  <c r="D52"/>
  <c r="E52"/>
  <c r="F52"/>
  <c r="G52"/>
  <c r="H52"/>
  <c r="A53"/>
  <c r="B53"/>
  <c r="D53"/>
  <c r="E53"/>
  <c r="F53"/>
  <c r="G53"/>
  <c r="H53"/>
  <c r="A54"/>
  <c r="B54"/>
  <c r="D54"/>
  <c r="E54"/>
  <c r="F54"/>
  <c r="G54"/>
  <c r="H54"/>
  <c r="A55"/>
  <c r="B55"/>
  <c r="C55"/>
  <c r="D55"/>
  <c r="E55"/>
  <c r="F55"/>
  <c r="G55"/>
  <c r="H55"/>
  <c r="A56"/>
  <c r="B56"/>
  <c r="D56"/>
  <c r="E56"/>
  <c r="F56"/>
  <c r="G56"/>
  <c r="H56"/>
  <c r="A57"/>
  <c r="B57"/>
  <c r="D57"/>
  <c r="E57"/>
  <c r="F57"/>
  <c r="G57"/>
  <c r="H57"/>
  <c r="A58"/>
  <c r="B58"/>
  <c r="D58"/>
  <c r="E58"/>
  <c r="F58"/>
  <c r="G58"/>
  <c r="H58"/>
  <c r="A59"/>
  <c r="B59"/>
  <c r="D59"/>
  <c r="E59"/>
  <c r="F59"/>
  <c r="G59"/>
  <c r="H59"/>
  <c r="A60"/>
  <c r="B60"/>
  <c r="D60"/>
  <c r="E60"/>
  <c r="F60"/>
  <c r="G60"/>
  <c r="H60"/>
  <c r="A61"/>
  <c r="B61"/>
  <c r="D61"/>
  <c r="E61"/>
  <c r="F61"/>
  <c r="G61"/>
  <c r="H61"/>
  <c r="A62"/>
  <c r="B62"/>
  <c r="C62"/>
  <c r="D62"/>
  <c r="E62"/>
  <c r="F62"/>
  <c r="G62"/>
  <c r="H62"/>
  <c r="A63"/>
  <c r="B63"/>
  <c r="D63"/>
  <c r="E63"/>
  <c r="F63"/>
  <c r="G63"/>
  <c r="H63"/>
  <c r="A64"/>
  <c r="B64"/>
  <c r="C64"/>
  <c r="D64"/>
  <c r="E64"/>
  <c r="F64"/>
  <c r="G64"/>
  <c r="H64"/>
  <c r="A65"/>
  <c r="B65"/>
  <c r="D65"/>
  <c r="E65"/>
  <c r="F65"/>
  <c r="G65"/>
  <c r="H65"/>
  <c r="A66"/>
  <c r="B66"/>
  <c r="D66"/>
  <c r="E66"/>
  <c r="F66"/>
  <c r="G66"/>
  <c r="H66"/>
  <c r="A67"/>
  <c r="B67"/>
  <c r="D67"/>
  <c r="E67"/>
  <c r="F67"/>
  <c r="G67"/>
  <c r="H67"/>
  <c r="A68"/>
  <c r="B68"/>
  <c r="D68"/>
  <c r="E68"/>
  <c r="F68"/>
  <c r="G68"/>
  <c r="H68"/>
  <c r="A69"/>
  <c r="B69"/>
  <c r="D69"/>
  <c r="E69"/>
  <c r="F69"/>
  <c r="G69"/>
  <c r="H69"/>
  <c r="A70"/>
  <c r="B70"/>
  <c r="D70"/>
  <c r="E70"/>
  <c r="F70"/>
  <c r="G70"/>
  <c r="H70"/>
  <c r="A71"/>
  <c r="B71"/>
  <c r="D71"/>
  <c r="E71"/>
  <c r="F71"/>
  <c r="G71"/>
  <c r="H71"/>
  <c r="A72"/>
  <c r="B72"/>
  <c r="D72"/>
  <c r="E72"/>
  <c r="F72"/>
  <c r="G72"/>
  <c r="H72"/>
  <c r="A73"/>
  <c r="B73"/>
  <c r="D73"/>
  <c r="E73"/>
  <c r="F73"/>
  <c r="G73"/>
  <c r="H73"/>
  <c r="A74"/>
  <c r="B74"/>
  <c r="C74"/>
  <c r="D74"/>
  <c r="E74"/>
  <c r="F74"/>
  <c r="G74"/>
  <c r="H74"/>
  <c r="A75"/>
  <c r="B75"/>
  <c r="C75"/>
  <c r="D75"/>
  <c r="E75"/>
  <c r="F75"/>
  <c r="G75"/>
  <c r="H75"/>
  <c r="A76"/>
  <c r="B76"/>
  <c r="C76"/>
  <c r="D76"/>
  <c r="E76"/>
  <c r="F76"/>
  <c r="G76"/>
  <c r="H76"/>
  <c r="A77"/>
  <c r="B77"/>
  <c r="D77"/>
  <c r="E77"/>
  <c r="F77"/>
  <c r="G77"/>
  <c r="H77"/>
  <c r="A78"/>
  <c r="B78"/>
  <c r="D78"/>
  <c r="E78"/>
  <c r="F78"/>
  <c r="G78"/>
  <c r="H78"/>
  <c r="A79"/>
  <c r="B79"/>
  <c r="D79"/>
  <c r="E79"/>
  <c r="F79"/>
  <c r="G79"/>
  <c r="H79"/>
  <c r="A80"/>
  <c r="B80"/>
  <c r="D80"/>
  <c r="E80"/>
  <c r="F80"/>
  <c r="G80"/>
  <c r="H80"/>
  <c r="A81"/>
  <c r="B81"/>
  <c r="D81"/>
  <c r="E81"/>
  <c r="F81"/>
  <c r="G81"/>
  <c r="H81"/>
  <c r="A82"/>
  <c r="B82"/>
  <c r="C82"/>
  <c r="D82"/>
  <c r="E82"/>
  <c r="F82"/>
  <c r="G82"/>
  <c r="H82"/>
  <c r="A83"/>
  <c r="B83"/>
  <c r="C83"/>
  <c r="D83"/>
  <c r="E83"/>
  <c r="F83"/>
  <c r="G83"/>
  <c r="H83"/>
  <c r="A84"/>
  <c r="B84"/>
  <c r="D84"/>
  <c r="E84"/>
  <c r="F84"/>
  <c r="G84"/>
  <c r="H84"/>
  <c r="A85"/>
  <c r="B85"/>
  <c r="D85"/>
  <c r="E85"/>
  <c r="F85"/>
  <c r="G85"/>
  <c r="H85"/>
  <c r="A86"/>
  <c r="B86"/>
  <c r="D86"/>
  <c r="E86"/>
  <c r="F86"/>
  <c r="G86"/>
  <c r="H86"/>
  <c r="A87"/>
  <c r="B87"/>
  <c r="C87"/>
  <c r="D87"/>
  <c r="E87"/>
  <c r="F87"/>
  <c r="G87"/>
  <c r="H87"/>
  <c r="A88"/>
  <c r="B88"/>
  <c r="C88"/>
  <c r="D88"/>
  <c r="E88"/>
  <c r="F88"/>
  <c r="G88"/>
  <c r="H88"/>
  <c r="A89"/>
  <c r="B89"/>
  <c r="C89"/>
  <c r="D89"/>
  <c r="E89"/>
  <c r="F89"/>
  <c r="G89"/>
  <c r="H89"/>
  <c r="A90"/>
  <c r="B90"/>
  <c r="C90"/>
  <c r="D90"/>
  <c r="E90"/>
  <c r="F90"/>
  <c r="G90"/>
  <c r="H90"/>
  <c r="A91"/>
  <c r="B91"/>
  <c r="C91"/>
  <c r="D91"/>
  <c r="E91"/>
  <c r="F91"/>
  <c r="G91"/>
  <c r="H91"/>
  <c r="A92"/>
  <c r="B92"/>
  <c r="C92"/>
  <c r="D92"/>
  <c r="E92"/>
  <c r="F92"/>
  <c r="G92"/>
  <c r="H92"/>
  <c r="A93"/>
  <c r="B93"/>
  <c r="C93"/>
  <c r="D93"/>
  <c r="E93"/>
  <c r="F93"/>
  <c r="G93"/>
  <c r="H93"/>
  <c r="A94"/>
  <c r="B94"/>
  <c r="C94"/>
  <c r="D94"/>
  <c r="E94"/>
  <c r="F94"/>
  <c r="G94"/>
  <c r="H94"/>
  <c r="A95"/>
  <c r="B95"/>
  <c r="C95"/>
  <c r="D95"/>
  <c r="E95"/>
  <c r="F95"/>
  <c r="G95"/>
  <c r="H95"/>
  <c r="A96"/>
  <c r="B96"/>
  <c r="C96"/>
  <c r="D96"/>
  <c r="E96"/>
  <c r="F96"/>
  <c r="G96"/>
  <c r="H96"/>
  <c r="A97"/>
  <c r="B97"/>
  <c r="C97"/>
  <c r="D97"/>
  <c r="E97"/>
  <c r="F97"/>
  <c r="G97"/>
  <c r="H97"/>
  <c r="A98"/>
  <c r="B98"/>
  <c r="C98"/>
  <c r="D98"/>
  <c r="E98"/>
  <c r="F98"/>
  <c r="G98"/>
  <c r="H98"/>
  <c r="A99"/>
  <c r="B99"/>
  <c r="C99"/>
  <c r="D99"/>
  <c r="E99"/>
  <c r="F99"/>
  <c r="G99"/>
  <c r="H99"/>
  <c r="A100"/>
  <c r="B100"/>
  <c r="C100"/>
  <c r="D100"/>
  <c r="E100"/>
  <c r="F100"/>
  <c r="G100"/>
  <c r="H100"/>
  <c r="A101"/>
  <c r="B101"/>
  <c r="C101"/>
  <c r="D101"/>
  <c r="E101"/>
  <c r="F101"/>
  <c r="G101"/>
  <c r="H101"/>
  <c r="A102"/>
  <c r="B102"/>
  <c r="C102"/>
  <c r="D102"/>
  <c r="E102"/>
  <c r="F102"/>
  <c r="G102"/>
  <c r="H102"/>
  <c r="A103"/>
  <c r="B103"/>
  <c r="C103"/>
  <c r="D103"/>
  <c r="E103"/>
  <c r="F103"/>
  <c r="G103"/>
  <c r="H103"/>
  <c r="A104"/>
  <c r="B104"/>
  <c r="C104"/>
  <c r="D104"/>
  <c r="E104"/>
  <c r="F104"/>
  <c r="G104"/>
  <c r="H104"/>
  <c r="A105"/>
  <c r="B105"/>
  <c r="C105"/>
  <c r="D105"/>
  <c r="E105"/>
  <c r="F105"/>
  <c r="G105"/>
  <c r="H105"/>
  <c r="A106"/>
  <c r="B106"/>
  <c r="C106"/>
  <c r="D106"/>
  <c r="E106"/>
  <c r="F106"/>
  <c r="G106"/>
  <c r="H106"/>
  <c r="A107"/>
  <c r="B107"/>
  <c r="C107"/>
  <c r="D107"/>
  <c r="E107"/>
  <c r="F107"/>
  <c r="G107"/>
  <c r="H107"/>
  <c r="A108"/>
  <c r="B108"/>
  <c r="C108"/>
  <c r="D108"/>
  <c r="E108"/>
  <c r="F108"/>
  <c r="G108"/>
  <c r="H108"/>
  <c r="A109"/>
  <c r="B109"/>
  <c r="C109"/>
  <c r="D109"/>
  <c r="E109"/>
  <c r="F109"/>
  <c r="G109"/>
  <c r="H109"/>
  <c r="A110"/>
  <c r="B110"/>
  <c r="C110"/>
  <c r="D110"/>
  <c r="E110"/>
  <c r="F110"/>
  <c r="G110"/>
  <c r="H110"/>
  <c r="A111"/>
  <c r="B111"/>
  <c r="C111"/>
  <c r="D111"/>
  <c r="E111"/>
  <c r="F111"/>
  <c r="G111"/>
  <c r="H111"/>
  <c r="A112"/>
  <c r="B112"/>
  <c r="C112"/>
  <c r="D112"/>
  <c r="E112"/>
  <c r="F112"/>
  <c r="G112"/>
  <c r="H112"/>
  <c r="A113"/>
  <c r="B113"/>
  <c r="C113"/>
  <c r="D113"/>
  <c r="E113"/>
  <c r="F113"/>
  <c r="G113"/>
  <c r="H113"/>
  <c r="A114"/>
  <c r="B114"/>
  <c r="C114"/>
  <c r="D114"/>
  <c r="E114"/>
  <c r="F114"/>
  <c r="G114"/>
  <c r="H114"/>
  <c r="A115"/>
  <c r="B115"/>
  <c r="D115"/>
  <c r="E115"/>
  <c r="F115"/>
  <c r="G115"/>
  <c r="H115"/>
  <c r="A116"/>
  <c r="B116"/>
  <c r="C116"/>
  <c r="D116"/>
  <c r="E116"/>
  <c r="F116"/>
  <c r="G116"/>
  <c r="H116"/>
  <c r="A117"/>
  <c r="B117"/>
  <c r="C117"/>
  <c r="D117"/>
  <c r="E117"/>
  <c r="F117"/>
  <c r="G117"/>
  <c r="H117"/>
  <c r="A118"/>
  <c r="B118"/>
  <c r="C118"/>
  <c r="D118"/>
  <c r="E118"/>
  <c r="F118"/>
  <c r="G118"/>
  <c r="H118"/>
  <c r="A119"/>
  <c r="B119"/>
  <c r="C119"/>
  <c r="D119"/>
  <c r="E119"/>
  <c r="F119"/>
  <c r="G119"/>
  <c r="H119"/>
  <c r="A120"/>
  <c r="B120"/>
  <c r="C120"/>
  <c r="D120"/>
  <c r="E120"/>
  <c r="F120"/>
  <c r="G120"/>
  <c r="H120"/>
  <c r="A121"/>
  <c r="B121"/>
  <c r="C121"/>
  <c r="D121"/>
  <c r="E121"/>
  <c r="F121"/>
  <c r="G121"/>
  <c r="H121"/>
  <c r="A122"/>
  <c r="B122"/>
  <c r="C122"/>
  <c r="D122"/>
  <c r="E122"/>
  <c r="F122"/>
  <c r="G122"/>
  <c r="H122"/>
  <c r="A123"/>
  <c r="B123"/>
  <c r="C123"/>
  <c r="D123"/>
  <c r="E123"/>
  <c r="F123"/>
  <c r="G123"/>
  <c r="H123"/>
  <c r="A124"/>
  <c r="B124"/>
  <c r="D124"/>
  <c r="E124"/>
  <c r="F124"/>
  <c r="G124"/>
  <c r="H124"/>
  <c r="A125"/>
  <c r="B125"/>
  <c r="D125"/>
  <c r="E125"/>
  <c r="F125"/>
  <c r="G125"/>
  <c r="H125"/>
  <c r="A126"/>
  <c r="B126"/>
  <c r="D126"/>
  <c r="E126"/>
  <c r="F126"/>
  <c r="G126"/>
  <c r="H126"/>
  <c r="A127"/>
  <c r="B127"/>
  <c r="C127"/>
  <c r="D127"/>
  <c r="E127"/>
  <c r="F127"/>
  <c r="G127"/>
  <c r="H127"/>
  <c r="A128"/>
  <c r="B128"/>
  <c r="C128"/>
  <c r="D128"/>
  <c r="E128"/>
  <c r="F128"/>
  <c r="G128"/>
  <c r="H128"/>
  <c r="A129"/>
  <c r="B129"/>
  <c r="C129"/>
  <c r="D129"/>
  <c r="E129"/>
  <c r="F129"/>
  <c r="G129"/>
  <c r="H129"/>
  <c r="A130"/>
  <c r="B130"/>
  <c r="D130"/>
  <c r="E130"/>
  <c r="F130"/>
  <c r="G130"/>
  <c r="H130"/>
  <c r="A131"/>
  <c r="B131"/>
  <c r="D131"/>
  <c r="E131"/>
  <c r="F131"/>
  <c r="G131"/>
  <c r="H131"/>
  <c r="A132"/>
  <c r="B132"/>
  <c r="D132"/>
  <c r="E132"/>
  <c r="F132"/>
  <c r="G132"/>
  <c r="H132"/>
  <c r="A133"/>
  <c r="B133"/>
  <c r="D133"/>
  <c r="E133"/>
  <c r="F133"/>
  <c r="G133"/>
  <c r="H133"/>
  <c r="A134"/>
  <c r="B134"/>
  <c r="D134"/>
  <c r="E134"/>
  <c r="F134"/>
  <c r="G134"/>
  <c r="H134"/>
  <c r="A135"/>
  <c r="B135"/>
  <c r="D135"/>
  <c r="E135"/>
  <c r="F135"/>
  <c r="G135"/>
  <c r="H135"/>
  <c r="A136"/>
  <c r="B136"/>
  <c r="C136"/>
  <c r="D136"/>
  <c r="E136"/>
  <c r="F136"/>
  <c r="G136"/>
  <c r="H136"/>
  <c r="A137"/>
  <c r="B137"/>
  <c r="D137"/>
  <c r="E137"/>
  <c r="F137"/>
  <c r="G137"/>
  <c r="H137"/>
  <c r="A138"/>
  <c r="B138"/>
  <c r="C138"/>
  <c r="D138"/>
  <c r="E138"/>
  <c r="F138"/>
  <c r="G138"/>
  <c r="H138"/>
  <c r="A139"/>
  <c r="B139"/>
  <c r="D139"/>
  <c r="E139"/>
  <c r="F139"/>
  <c r="G139"/>
  <c r="H139"/>
  <c r="A140"/>
  <c r="B140"/>
  <c r="D140"/>
  <c r="E140"/>
  <c r="F140"/>
  <c r="G140"/>
  <c r="H140"/>
  <c r="A141"/>
  <c r="B141"/>
  <c r="C141"/>
  <c r="D141"/>
  <c r="E141"/>
  <c r="F141"/>
  <c r="G141"/>
  <c r="H141"/>
  <c r="A142"/>
  <c r="B142"/>
  <c r="C142"/>
  <c r="D142"/>
  <c r="E142"/>
  <c r="F142"/>
  <c r="G142"/>
  <c r="H142"/>
  <c r="A143"/>
  <c r="B143"/>
  <c r="C143"/>
  <c r="D143"/>
  <c r="E143"/>
  <c r="F143"/>
  <c r="G143"/>
  <c r="H143"/>
  <c r="A144"/>
  <c r="B144"/>
  <c r="D144"/>
  <c r="E144"/>
  <c r="F144"/>
  <c r="G144"/>
  <c r="H144"/>
  <c r="A145"/>
  <c r="B145"/>
  <c r="D145"/>
  <c r="E145"/>
  <c r="F145"/>
  <c r="G145"/>
  <c r="H145"/>
  <c r="A146"/>
  <c r="B146"/>
  <c r="D146"/>
  <c r="E146"/>
  <c r="F146"/>
  <c r="G146"/>
  <c r="H146"/>
  <c r="A147"/>
  <c r="B147"/>
  <c r="D147"/>
  <c r="E147"/>
  <c r="F147"/>
  <c r="G147"/>
  <c r="H147"/>
  <c r="A148"/>
  <c r="B148"/>
  <c r="D148"/>
  <c r="E148"/>
  <c r="F148"/>
  <c r="G148"/>
  <c r="H148"/>
  <c r="A149"/>
  <c r="B149"/>
  <c r="D149"/>
  <c r="E149"/>
  <c r="F149"/>
  <c r="G149"/>
  <c r="H149"/>
  <c r="A150"/>
  <c r="B150"/>
  <c r="D150"/>
  <c r="E150"/>
  <c r="F150"/>
  <c r="G150"/>
  <c r="H150"/>
  <c r="A151"/>
  <c r="B151"/>
  <c r="D151"/>
  <c r="E151"/>
  <c r="F151"/>
  <c r="G151"/>
  <c r="H151"/>
  <c r="A152"/>
  <c r="B152"/>
  <c r="D152"/>
  <c r="E152"/>
  <c r="F152"/>
  <c r="G152"/>
  <c r="H152"/>
  <c r="A153"/>
  <c r="B153"/>
  <c r="D153"/>
  <c r="E153"/>
  <c r="F153"/>
  <c r="G153"/>
  <c r="H153"/>
  <c r="A154"/>
  <c r="B154"/>
  <c r="D154"/>
  <c r="E154"/>
  <c r="F154"/>
  <c r="G154"/>
  <c r="H154"/>
  <c r="A155"/>
  <c r="B155"/>
  <c r="D155"/>
  <c r="E155"/>
  <c r="F155"/>
  <c r="G155"/>
  <c r="H155"/>
  <c r="A156"/>
  <c r="B156"/>
  <c r="D156"/>
  <c r="E156"/>
  <c r="F156"/>
  <c r="G156"/>
  <c r="H156"/>
  <c r="A157"/>
  <c r="B157"/>
  <c r="D157"/>
  <c r="E157"/>
  <c r="F157"/>
  <c r="G157"/>
  <c r="H157"/>
  <c r="A158"/>
  <c r="B158"/>
  <c r="D158"/>
  <c r="E158"/>
  <c r="F158"/>
  <c r="G158"/>
  <c r="H158"/>
  <c r="A159"/>
  <c r="B159"/>
  <c r="D159"/>
  <c r="E159"/>
  <c r="F159"/>
  <c r="G159"/>
  <c r="H159"/>
  <c r="A160"/>
  <c r="B160"/>
  <c r="D160"/>
  <c r="E160"/>
  <c r="F160"/>
  <c r="G160"/>
  <c r="H160"/>
  <c r="A161"/>
  <c r="B161"/>
  <c r="D161"/>
  <c r="E161"/>
  <c r="F161"/>
  <c r="G161"/>
  <c r="H161"/>
  <c r="A162"/>
  <c r="B162"/>
  <c r="C162"/>
  <c r="D162"/>
  <c r="E162"/>
  <c r="F162"/>
  <c r="G162"/>
  <c r="H162"/>
  <c r="A163"/>
  <c r="B163"/>
  <c r="D163"/>
  <c r="E163"/>
  <c r="F163"/>
  <c r="G163"/>
  <c r="H163"/>
  <c r="A164"/>
  <c r="B164"/>
  <c r="D164"/>
  <c r="E164"/>
  <c r="F164"/>
  <c r="G164"/>
  <c r="H164"/>
  <c r="A165"/>
  <c r="B165"/>
  <c r="D165"/>
  <c r="E165"/>
  <c r="F165"/>
  <c r="G165"/>
  <c r="H165"/>
  <c r="A166"/>
  <c r="B166"/>
  <c r="D166"/>
  <c r="E166"/>
  <c r="F166"/>
  <c r="G166"/>
  <c r="H166"/>
  <c r="A167"/>
  <c r="B167"/>
  <c r="C167"/>
  <c r="D167"/>
  <c r="E167"/>
  <c r="F167"/>
  <c r="G167"/>
  <c r="H167"/>
  <c r="A168"/>
  <c r="B168"/>
  <c r="D168"/>
  <c r="E168"/>
  <c r="F168"/>
  <c r="G168"/>
  <c r="H168"/>
  <c r="A169"/>
  <c r="B169"/>
  <c r="C169"/>
  <c r="D169"/>
  <c r="E169"/>
  <c r="F169"/>
  <c r="G169"/>
  <c r="H169"/>
  <c r="A170"/>
  <c r="B170"/>
  <c r="D170"/>
  <c r="E170"/>
  <c r="F170"/>
  <c r="G170"/>
  <c r="H170"/>
  <c r="A171"/>
  <c r="B171"/>
  <c r="D171"/>
  <c r="E171"/>
  <c r="F171"/>
  <c r="G171"/>
  <c r="H171"/>
  <c r="A172"/>
  <c r="B172"/>
  <c r="D172"/>
  <c r="E172"/>
  <c r="F172"/>
  <c r="G172"/>
  <c r="H172"/>
  <c r="A173"/>
  <c r="B173"/>
  <c r="C173"/>
  <c r="D173"/>
  <c r="E173"/>
  <c r="F173"/>
  <c r="G173"/>
  <c r="H173"/>
  <c r="A174"/>
  <c r="B174"/>
  <c r="C174"/>
  <c r="D174"/>
  <c r="E174"/>
  <c r="F174"/>
  <c r="G174"/>
  <c r="H174"/>
  <c r="A175"/>
  <c r="B175"/>
  <c r="D175"/>
  <c r="E175"/>
  <c r="F175"/>
  <c r="G175"/>
  <c r="H175"/>
  <c r="A176"/>
  <c r="B176"/>
  <c r="D176"/>
  <c r="E176"/>
  <c r="F176"/>
  <c r="G176"/>
  <c r="H176"/>
  <c r="A177"/>
  <c r="B177"/>
  <c r="D177"/>
  <c r="E177"/>
  <c r="F177"/>
  <c r="G177"/>
  <c r="H177"/>
  <c r="A178"/>
  <c r="B178"/>
  <c r="D178"/>
  <c r="E178"/>
  <c r="F178"/>
  <c r="G178"/>
  <c r="H178"/>
  <c r="A179"/>
  <c r="B179"/>
  <c r="D179"/>
  <c r="E179"/>
  <c r="F179"/>
  <c r="G179"/>
  <c r="H179"/>
  <c r="A180"/>
  <c r="B180"/>
  <c r="D180"/>
  <c r="E180"/>
  <c r="F180"/>
  <c r="G180"/>
  <c r="H180"/>
  <c r="A181"/>
  <c r="B181"/>
  <c r="D181"/>
  <c r="E181"/>
  <c r="F181"/>
  <c r="G181"/>
  <c r="H181"/>
  <c r="A182"/>
  <c r="B182"/>
  <c r="D182"/>
  <c r="E182"/>
  <c r="F182"/>
  <c r="G182"/>
  <c r="H182"/>
  <c r="A183"/>
  <c r="B183"/>
  <c r="D183"/>
  <c r="E183"/>
  <c r="F183"/>
  <c r="G183"/>
  <c r="H183"/>
  <c r="A184"/>
  <c r="B184"/>
  <c r="D184"/>
  <c r="E184"/>
  <c r="F184"/>
  <c r="G184"/>
  <c r="H184"/>
  <c r="A185"/>
  <c r="B185"/>
  <c r="D185"/>
  <c r="E185"/>
  <c r="F185"/>
  <c r="G185"/>
  <c r="H185"/>
  <c r="A186"/>
  <c r="B186"/>
  <c r="D186"/>
  <c r="E186"/>
  <c r="F186"/>
  <c r="G186"/>
  <c r="H186"/>
  <c r="A187"/>
  <c r="B187"/>
  <c r="D187"/>
  <c r="E187"/>
  <c r="F187"/>
  <c r="G187"/>
  <c r="H187"/>
  <c r="A188"/>
  <c r="B188"/>
  <c r="D188"/>
  <c r="E188"/>
  <c r="F188"/>
  <c r="G188"/>
  <c r="H188"/>
  <c r="A189"/>
  <c r="B189"/>
  <c r="C189"/>
  <c r="D189"/>
  <c r="E189"/>
  <c r="F189"/>
  <c r="G189"/>
  <c r="H189"/>
  <c r="A190"/>
  <c r="B190"/>
  <c r="D190"/>
  <c r="E190"/>
  <c r="F190"/>
  <c r="G190"/>
  <c r="H190"/>
  <c r="A191"/>
  <c r="B191"/>
  <c r="C191"/>
  <c r="D191"/>
  <c r="E191"/>
  <c r="F191"/>
  <c r="G191"/>
  <c r="H191"/>
  <c r="A192"/>
  <c r="B192"/>
  <c r="C192"/>
  <c r="D192"/>
  <c r="E192"/>
  <c r="F192"/>
  <c r="G192"/>
  <c r="H192"/>
  <c r="A193"/>
  <c r="B193"/>
  <c r="D193"/>
  <c r="E193"/>
  <c r="F193"/>
  <c r="G193"/>
  <c r="H193"/>
  <c r="A194"/>
  <c r="B194"/>
  <c r="D194"/>
  <c r="E194"/>
  <c r="F194"/>
  <c r="G194"/>
  <c r="H194"/>
  <c r="A195"/>
  <c r="B195"/>
  <c r="D195"/>
  <c r="E195"/>
  <c r="F195"/>
  <c r="G195"/>
  <c r="H195"/>
  <c r="A196"/>
  <c r="B196"/>
  <c r="C196"/>
  <c r="D196"/>
  <c r="E196"/>
  <c r="F196"/>
  <c r="G196"/>
  <c r="H196"/>
  <c r="A197"/>
  <c r="B197"/>
  <c r="C197"/>
  <c r="D197"/>
  <c r="E197"/>
  <c r="F197"/>
  <c r="G197"/>
  <c r="H197"/>
  <c r="A198"/>
  <c r="B198"/>
  <c r="D198"/>
  <c r="E198"/>
  <c r="F198"/>
  <c r="G198"/>
  <c r="H198"/>
  <c r="A199"/>
  <c r="B199"/>
  <c r="C199"/>
  <c r="D199"/>
  <c r="E199"/>
  <c r="F199"/>
  <c r="G199"/>
  <c r="H199"/>
  <c r="A200"/>
  <c r="B200"/>
  <c r="D200"/>
  <c r="E200"/>
  <c r="F200"/>
  <c r="G200"/>
  <c r="H200"/>
  <c r="A201"/>
  <c r="B201"/>
  <c r="D201"/>
  <c r="E201"/>
  <c r="F201"/>
  <c r="G201"/>
  <c r="H201"/>
  <c r="A202"/>
  <c r="B202"/>
  <c r="D202"/>
  <c r="E202"/>
  <c r="F202"/>
  <c r="G202"/>
  <c r="H202"/>
  <c r="A203"/>
  <c r="B203"/>
  <c r="D203"/>
  <c r="E203"/>
  <c r="F203"/>
  <c r="G203"/>
  <c r="H203"/>
  <c r="A204"/>
  <c r="B204"/>
  <c r="D204"/>
  <c r="E204"/>
  <c r="F204"/>
  <c r="G204"/>
  <c r="H204"/>
  <c r="A205"/>
  <c r="B205"/>
  <c r="D205"/>
  <c r="E205"/>
  <c r="F205"/>
  <c r="G205"/>
  <c r="H205"/>
  <c r="A206"/>
  <c r="B206"/>
  <c r="D206"/>
  <c r="E206"/>
  <c r="F206"/>
  <c r="G206"/>
  <c r="H206"/>
  <c r="A207"/>
  <c r="B207"/>
  <c r="D207"/>
  <c r="E207"/>
  <c r="F207"/>
  <c r="G207"/>
  <c r="H207"/>
  <c r="A208"/>
  <c r="B208"/>
  <c r="C208"/>
  <c r="D208"/>
  <c r="E208"/>
  <c r="F208"/>
  <c r="G208"/>
  <c r="H208"/>
  <c r="A209"/>
  <c r="B209"/>
  <c r="D209"/>
  <c r="E209"/>
  <c r="F209"/>
  <c r="G209"/>
  <c r="H209"/>
  <c r="A210"/>
  <c r="B210"/>
  <c r="D210"/>
  <c r="E210"/>
  <c r="F210"/>
  <c r="G210"/>
  <c r="H210"/>
  <c r="A211"/>
  <c r="B211"/>
  <c r="D211"/>
  <c r="E211"/>
  <c r="F211"/>
  <c r="G211"/>
  <c r="H211"/>
  <c r="A212"/>
  <c r="B212"/>
  <c r="D212"/>
  <c r="E212"/>
  <c r="F212"/>
  <c r="G212"/>
  <c r="H212"/>
  <c r="A213"/>
  <c r="B213"/>
  <c r="C213"/>
  <c r="D213"/>
  <c r="E213"/>
  <c r="F213"/>
  <c r="G213"/>
  <c r="H213"/>
  <c r="A214"/>
  <c r="B214"/>
  <c r="C214"/>
  <c r="D214"/>
  <c r="E214"/>
  <c r="F214"/>
  <c r="G214"/>
  <c r="H214"/>
  <c r="A215"/>
  <c r="B215"/>
  <c r="C215"/>
  <c r="D215"/>
  <c r="E215"/>
  <c r="F215"/>
  <c r="G215"/>
  <c r="H215"/>
  <c r="A216"/>
  <c r="B216"/>
  <c r="C216"/>
  <c r="D216"/>
  <c r="E216"/>
  <c r="F216"/>
  <c r="G216"/>
  <c r="H216"/>
  <c r="A217"/>
  <c r="B217"/>
  <c r="C217"/>
  <c r="D217"/>
  <c r="E217"/>
  <c r="F217"/>
  <c r="G217"/>
  <c r="H217"/>
  <c r="A218"/>
  <c r="B218"/>
  <c r="C218"/>
  <c r="D218"/>
  <c r="E218"/>
  <c r="F218"/>
  <c r="G218"/>
  <c r="H218"/>
  <c r="A219"/>
  <c r="B219"/>
  <c r="C219"/>
  <c r="D219"/>
  <c r="E219"/>
  <c r="F219"/>
  <c r="G219"/>
  <c r="H219"/>
  <c r="A220"/>
  <c r="B220"/>
  <c r="C220"/>
  <c r="D220"/>
  <c r="E220"/>
  <c r="F220"/>
  <c r="G220"/>
  <c r="H220"/>
  <c r="A221"/>
  <c r="B221"/>
  <c r="C221"/>
  <c r="D221"/>
  <c r="E221"/>
  <c r="F221"/>
  <c r="G221"/>
  <c r="H221"/>
  <c r="A222"/>
  <c r="B222"/>
  <c r="C222"/>
  <c r="D222"/>
  <c r="E222"/>
  <c r="F222"/>
  <c r="G222"/>
  <c r="H222"/>
  <c r="A223"/>
  <c r="B223"/>
  <c r="C223"/>
  <c r="D223"/>
  <c r="E223"/>
  <c r="F223"/>
  <c r="G223"/>
  <c r="H223"/>
  <c r="A224"/>
  <c r="B224"/>
  <c r="C224"/>
  <c r="D224"/>
  <c r="E224"/>
  <c r="F224"/>
  <c r="G224"/>
  <c r="H224"/>
  <c r="A225"/>
  <c r="B225"/>
  <c r="C225"/>
  <c r="D225"/>
  <c r="E225"/>
  <c r="F225"/>
  <c r="G225"/>
  <c r="H225"/>
  <c r="A226"/>
  <c r="B226"/>
  <c r="D226"/>
  <c r="E226"/>
  <c r="F226"/>
  <c r="G226"/>
  <c r="H226"/>
  <c r="A227"/>
  <c r="B227"/>
  <c r="D227"/>
  <c r="E227"/>
  <c r="F227"/>
  <c r="G227"/>
  <c r="H227"/>
  <c r="A228"/>
  <c r="B228"/>
  <c r="C228"/>
  <c r="D228"/>
  <c r="E228"/>
  <c r="F228"/>
  <c r="G228"/>
  <c r="H228"/>
  <c r="A229"/>
  <c r="B229"/>
  <c r="C229"/>
  <c r="D229"/>
  <c r="E229"/>
  <c r="F229"/>
  <c r="G229"/>
  <c r="H229"/>
  <c r="A230"/>
  <c r="B230"/>
  <c r="D230"/>
  <c r="E230"/>
  <c r="F230"/>
  <c r="G230"/>
  <c r="H230"/>
  <c r="A231"/>
  <c r="B231"/>
  <c r="D231"/>
  <c r="E231"/>
  <c r="F231"/>
  <c r="G231"/>
  <c r="H231"/>
  <c r="A232"/>
  <c r="B232"/>
  <c r="D232"/>
  <c r="E232"/>
  <c r="F232"/>
  <c r="G232"/>
  <c r="H232"/>
  <c r="A233"/>
  <c r="B233"/>
  <c r="C233"/>
  <c r="D233"/>
  <c r="E233"/>
  <c r="F233"/>
  <c r="G233"/>
  <c r="H233"/>
  <c r="A234"/>
  <c r="B234"/>
  <c r="D234"/>
  <c r="E234"/>
  <c r="F234"/>
  <c r="G234"/>
  <c r="H234"/>
  <c r="A235"/>
  <c r="B235"/>
  <c r="D235"/>
  <c r="E235"/>
  <c r="F235"/>
  <c r="G235"/>
  <c r="H235"/>
  <c r="A236"/>
  <c r="B236"/>
  <c r="D236"/>
  <c r="E236"/>
  <c r="F236"/>
  <c r="G236"/>
  <c r="H236"/>
  <c r="A237"/>
  <c r="B237"/>
  <c r="D237"/>
  <c r="E237"/>
  <c r="F237"/>
  <c r="G237"/>
  <c r="H237"/>
  <c r="A238"/>
  <c r="B238"/>
  <c r="C238"/>
  <c r="D238"/>
  <c r="E238"/>
  <c r="F238"/>
  <c r="G238"/>
  <c r="H238"/>
  <c r="A239"/>
  <c r="B239"/>
  <c r="D239"/>
  <c r="E239"/>
  <c r="F239"/>
  <c r="G239"/>
  <c r="H239"/>
  <c r="A240"/>
  <c r="B240"/>
  <c r="D240"/>
  <c r="E240"/>
  <c r="F240"/>
  <c r="G240"/>
  <c r="H240"/>
  <c r="A241"/>
  <c r="B241"/>
  <c r="C241"/>
  <c r="D241"/>
  <c r="E241"/>
  <c r="F241"/>
  <c r="G241"/>
  <c r="H241"/>
  <c r="A242"/>
  <c r="B242"/>
  <c r="D242"/>
  <c r="E242"/>
  <c r="F242"/>
  <c r="G242"/>
  <c r="H242"/>
  <c r="A243"/>
  <c r="B243"/>
  <c r="D243"/>
  <c r="E243"/>
  <c r="F243"/>
  <c r="G243"/>
  <c r="H243"/>
  <c r="A244"/>
  <c r="B244"/>
  <c r="D244"/>
  <c r="E244"/>
  <c r="F244"/>
  <c r="G244"/>
  <c r="H244"/>
  <c r="A245"/>
  <c r="B245"/>
  <c r="C245"/>
  <c r="D245"/>
  <c r="E245"/>
  <c r="F245"/>
  <c r="G245"/>
  <c r="H245"/>
  <c r="A246"/>
  <c r="B246"/>
  <c r="D246"/>
  <c r="E246"/>
  <c r="F246"/>
  <c r="G246"/>
  <c r="H246"/>
  <c r="A247"/>
  <c r="B247"/>
  <c r="D247"/>
  <c r="E247"/>
  <c r="F247"/>
  <c r="G247"/>
  <c r="H247"/>
  <c r="A248"/>
  <c r="B248"/>
  <c r="D248"/>
  <c r="E248"/>
  <c r="F248"/>
  <c r="G248"/>
  <c r="H248"/>
  <c r="A249"/>
  <c r="B249"/>
  <c r="D249"/>
  <c r="E249"/>
  <c r="F249"/>
  <c r="G249"/>
  <c r="H249"/>
  <c r="A250"/>
  <c r="B250"/>
  <c r="D250"/>
  <c r="E250"/>
  <c r="F250"/>
  <c r="G250"/>
  <c r="H250"/>
  <c r="A251"/>
  <c r="B251"/>
  <c r="C251"/>
  <c r="D251"/>
  <c r="E251"/>
  <c r="F251"/>
  <c r="G251"/>
  <c r="H251"/>
  <c r="A252"/>
  <c r="B252"/>
  <c r="D252"/>
  <c r="E252"/>
  <c r="F252"/>
  <c r="G252"/>
  <c r="H252"/>
  <c r="A253"/>
  <c r="B253"/>
  <c r="D253"/>
  <c r="E253"/>
  <c r="F253"/>
  <c r="G253"/>
  <c r="H253"/>
  <c r="A254"/>
  <c r="B254"/>
  <c r="D254"/>
  <c r="E254"/>
  <c r="F254"/>
  <c r="G254"/>
  <c r="H254"/>
  <c r="A255"/>
  <c r="B255"/>
  <c r="D255"/>
  <c r="E255"/>
  <c r="F255"/>
  <c r="G255"/>
  <c r="H255"/>
  <c r="A256"/>
  <c r="B256"/>
  <c r="D256"/>
  <c r="E256"/>
  <c r="F256"/>
  <c r="G256"/>
  <c r="H256"/>
  <c r="A257"/>
  <c r="B257"/>
  <c r="D257"/>
  <c r="E257"/>
  <c r="F257"/>
  <c r="G257"/>
  <c r="H257"/>
  <c r="A258"/>
  <c r="B258"/>
  <c r="C258"/>
  <c r="D258"/>
  <c r="E258"/>
  <c r="F258"/>
  <c r="G258"/>
  <c r="H258"/>
  <c r="A259"/>
  <c r="B259"/>
  <c r="D259"/>
  <c r="E259"/>
  <c r="F259"/>
  <c r="G259"/>
  <c r="H259"/>
  <c r="A260"/>
  <c r="B260"/>
  <c r="D260"/>
  <c r="E260"/>
  <c r="F260"/>
  <c r="G260"/>
  <c r="H260"/>
  <c r="A261"/>
  <c r="B261"/>
  <c r="C261"/>
  <c r="D261"/>
  <c r="E261"/>
  <c r="F261"/>
  <c r="G261"/>
  <c r="H261"/>
  <c r="A262"/>
  <c r="B262"/>
  <c r="D262"/>
  <c r="E262"/>
  <c r="F262"/>
  <c r="G262"/>
  <c r="H262"/>
  <c r="A263"/>
  <c r="B263"/>
  <c r="D263"/>
  <c r="E263"/>
  <c r="F263"/>
  <c r="G263"/>
  <c r="H263"/>
  <c r="A264"/>
  <c r="B264"/>
  <c r="D264"/>
  <c r="E264"/>
  <c r="F264"/>
  <c r="G264"/>
  <c r="H264"/>
  <c r="A265"/>
  <c r="B265"/>
  <c r="C265"/>
  <c r="D265"/>
  <c r="E265"/>
  <c r="F265"/>
  <c r="G265"/>
  <c r="H265"/>
  <c r="A266"/>
  <c r="B266"/>
  <c r="C266"/>
  <c r="D266"/>
  <c r="E266"/>
  <c r="F266"/>
  <c r="G266"/>
  <c r="H266"/>
</calcChain>
</file>

<file path=xl/sharedStrings.xml><?xml version="1.0" encoding="utf-8"?>
<sst xmlns="http://schemas.openxmlformats.org/spreadsheetml/2006/main" count="153" uniqueCount="151">
  <si>
    <t>Lopez Gomez, Amador</t>
  </si>
  <si>
    <t>Teran, Alfredo</t>
  </si>
  <si>
    <t>Alanis, Cristo J.</t>
  </si>
  <si>
    <t>Jezzini, Moises</t>
  </si>
  <si>
    <t>Nu?ez, Cesar</t>
  </si>
  <si>
    <t>Torres, Marco A.</t>
  </si>
  <si>
    <t>Clemente, Hugo D.</t>
  </si>
  <si>
    <t>Jimenez Mascorro, Jesus</t>
  </si>
  <si>
    <t>Saucedo, Erick</t>
  </si>
  <si>
    <t>Valadez, Jorge A.</t>
  </si>
  <si>
    <t>Perez, Alberto</t>
  </si>
  <si>
    <t>Valdez, Eliud</t>
  </si>
  <si>
    <t>Castillo, Juan J.</t>
  </si>
  <si>
    <t>Guerrero, Miguel A.</t>
  </si>
  <si>
    <t>Salinas, Orlando R.</t>
  </si>
  <si>
    <t>Espindola, Jorge A.</t>
  </si>
  <si>
    <t>Gomez, Jacqueline</t>
  </si>
  <si>
    <t>Hernandez, Mario</t>
  </si>
  <si>
    <t>Martinez, Cesar E.</t>
  </si>
  <si>
    <t>Flores, Veronica</t>
  </si>
  <si>
    <t>Perales, Adrian</t>
  </si>
  <si>
    <t>Flores, Carlos M.</t>
  </si>
  <si>
    <t>Gutierrez, Gabriel</t>
  </si>
  <si>
    <t>Cruz, Roberto</t>
  </si>
  <si>
    <t>Sanchez, Braulio</t>
  </si>
  <si>
    <t>Castillo Padilla, Arnulfo</t>
  </si>
  <si>
    <t>Vazquez, Mauricio</t>
  </si>
  <si>
    <t>Cerecero Sanchez, Alfonso</t>
  </si>
  <si>
    <t>Martinez Ramirez, Edgar I.</t>
  </si>
  <si>
    <t>Diaz, Luis F.</t>
  </si>
  <si>
    <t>Banda, Jesus</t>
  </si>
  <si>
    <t>Guerra, Ivan</t>
  </si>
  <si>
    <t>Hernandez de la Rosa, Enrique</t>
  </si>
  <si>
    <t>Rios Duran, Jesus Alejandro</t>
  </si>
  <si>
    <t>Guerrero, Cesar</t>
  </si>
  <si>
    <t>Gallo, Javier</t>
  </si>
  <si>
    <t>Martinez, Jorge Luis</t>
  </si>
  <si>
    <t>Sierra, Carlos Arnulfo</t>
  </si>
  <si>
    <t>Saenz, Josue</t>
  </si>
  <si>
    <t>Arias, Christian A.</t>
  </si>
  <si>
    <t>Sanchez, Omar</t>
  </si>
  <si>
    <t>Deyta, Carlos</t>
  </si>
  <si>
    <t>Rodriguez, Flavio</t>
  </si>
  <si>
    <t>Lozano, Juan A.</t>
  </si>
  <si>
    <t>Garcia, Melchor</t>
  </si>
  <si>
    <t>Rivera, Alejandro</t>
  </si>
  <si>
    <t>Gonzalez, Francisco</t>
  </si>
  <si>
    <t>Araguz, Demis</t>
  </si>
  <si>
    <t>Garcia, Aaron F.</t>
  </si>
  <si>
    <t>Castaneda, Cesar L.</t>
  </si>
  <si>
    <t>Requena, Luis A.</t>
  </si>
  <si>
    <t>Gomez, Alfonso</t>
  </si>
  <si>
    <t>Gonzalez, Josue E.</t>
  </si>
  <si>
    <t>Del Angel, Elias</t>
  </si>
  <si>
    <t>Lara, Adrian</t>
  </si>
  <si>
    <t>Hernandez, Cesar</t>
  </si>
  <si>
    <t>Lopez Galindo, Eduardo</t>
  </si>
  <si>
    <t>Rojas, Jesus</t>
  </si>
  <si>
    <t>Acevedo, Marcos A.</t>
  </si>
  <si>
    <t>Rivera, Eduardo</t>
  </si>
  <si>
    <t>Rodriguez Garza, Gerardo</t>
  </si>
  <si>
    <t>Castillo, Marina Ivette</t>
  </si>
  <si>
    <t>Peredo, Ricardo</t>
  </si>
  <si>
    <t>Esqueda, Omar M.</t>
  </si>
  <si>
    <t>Cervantes, Ulises</t>
  </si>
  <si>
    <t>Mendez, Aldo</t>
  </si>
  <si>
    <t>Sifuentes, Jesus A.</t>
  </si>
  <si>
    <t>Hernandez, Adrian Gerardo</t>
  </si>
  <si>
    <t>Banda, Jose M.</t>
  </si>
  <si>
    <t>Nunez, Daniel</t>
  </si>
  <si>
    <t>Tejeda, Gonzalo</t>
  </si>
  <si>
    <t>Perez, Romualdo</t>
  </si>
  <si>
    <t>Gutierrez, Joaquin A.</t>
  </si>
  <si>
    <t>Sequeda, Eduardo A.</t>
  </si>
  <si>
    <t>Zamora, Saul</t>
  </si>
  <si>
    <t>Cortez, Cruz R.</t>
  </si>
  <si>
    <t>Nazarin, Hugo A.</t>
  </si>
  <si>
    <t>Portales, Fernando D.</t>
  </si>
  <si>
    <t>Zarate, Javier I.</t>
  </si>
  <si>
    <t>Turrubiates, Heriberto</t>
  </si>
  <si>
    <t>Garcia, Miguel A.</t>
  </si>
  <si>
    <t>Ovalle, Guillermo</t>
  </si>
  <si>
    <t>Larrazolo, Jose F.</t>
  </si>
  <si>
    <t>Panama, Diego A.</t>
  </si>
  <si>
    <t>Mosqueda, Juan M.</t>
  </si>
  <si>
    <t>Cordoba, Emmanuel</t>
  </si>
  <si>
    <t>Espinoza, Victor R.</t>
  </si>
  <si>
    <t>Becerra, Pedro</t>
  </si>
  <si>
    <t>Zarco, Inmar</t>
  </si>
  <si>
    <t>Morquecho Ramirez, Mario A.</t>
  </si>
  <si>
    <t>Morales, Edgar</t>
  </si>
  <si>
    <t>Zumaya Ledezma, Julio C.</t>
  </si>
  <si>
    <t>Rios, Jorge</t>
  </si>
  <si>
    <t>Chavez, Mario A.</t>
  </si>
  <si>
    <t>Caballero, Jesus I.</t>
  </si>
  <si>
    <t>Verastegui, Hector J.</t>
  </si>
  <si>
    <t>Mendoza, Nallely C.</t>
  </si>
  <si>
    <t>Garcia, Angel M.</t>
  </si>
  <si>
    <t>Gutierrez, Erick D.</t>
  </si>
  <si>
    <t>Guerrero, Rolando</t>
  </si>
  <si>
    <t>Martinez, Nestor E.</t>
  </si>
  <si>
    <t>Hernandez, Sergio</t>
  </si>
  <si>
    <t>Jimenez, Isai</t>
  </si>
  <si>
    <t>Rodriguez, Abdiel A.</t>
  </si>
  <si>
    <t>Montoya, Emmanuel</t>
  </si>
  <si>
    <t>Lerma, Salvador</t>
  </si>
  <si>
    <t>Gomez, Jorge</t>
  </si>
  <si>
    <t>Gonzalez, Jorge</t>
  </si>
  <si>
    <t>Solana, Ramon O.</t>
  </si>
  <si>
    <t>Balleza, Eduardo</t>
  </si>
  <si>
    <t>Perez, Alejandro E</t>
  </si>
  <si>
    <t>Tijerina, Nestor A.</t>
  </si>
  <si>
    <t>Santos, Servando</t>
  </si>
  <si>
    <t>Salazar, Omar A.</t>
  </si>
  <si>
    <t>Zapata, Victor A</t>
  </si>
  <si>
    <t>Crescencio, Jose A.</t>
  </si>
  <si>
    <t>Ocampo, Israel</t>
  </si>
  <si>
    <t>sanchez,fernando</t>
  </si>
  <si>
    <t>Sanchez, Fernando</t>
  </si>
  <si>
    <t>Cisneros, Alejandro</t>
  </si>
  <si>
    <t>Garcia Sanchez, Miguel A.</t>
  </si>
  <si>
    <t>Ramos, Francisco</t>
  </si>
  <si>
    <t>Rosas, Karen Paola</t>
  </si>
  <si>
    <t>Rios Gonzalez, Erick</t>
  </si>
  <si>
    <t>Becerra, Pedro E.</t>
  </si>
  <si>
    <t>Nunez, Juan Pablo</t>
  </si>
  <si>
    <t>Mora, Francisco</t>
  </si>
  <si>
    <t>Salazar, Efren</t>
  </si>
  <si>
    <t>Zuniga, Ivan</t>
  </si>
  <si>
    <t>Gutierrez, Jessica Sarahi</t>
  </si>
  <si>
    <t>Leal, Juan C.</t>
  </si>
  <si>
    <t>Corona, Harim G.</t>
  </si>
  <si>
    <t>Gamez, Angelica E.</t>
  </si>
  <si>
    <t>Gaytan, Oliver</t>
  </si>
  <si>
    <t>Araguz, Diego</t>
  </si>
  <si>
    <t>Banda, Daniel</t>
  </si>
  <si>
    <t>Guerrero, Ismael</t>
  </si>
  <si>
    <t>Rodriguez, Emmanuel S.</t>
  </si>
  <si>
    <t>Wvalle, Rey D.</t>
  </si>
  <si>
    <t>Rivera, Luis A.</t>
  </si>
  <si>
    <t>Cobos, Omar</t>
  </si>
  <si>
    <t>Avila, Eduardo J.</t>
  </si>
  <si>
    <t>Guevara, Edna E.</t>
  </si>
  <si>
    <t>Silva, Jose A.</t>
  </si>
  <si>
    <t>Ramirez, Carlos A.</t>
  </si>
  <si>
    <t>Valdiosera, Jose Luis.</t>
  </si>
  <si>
    <t>Morales, Diana M.</t>
  </si>
  <si>
    <t>Garcia, Jonathan I.</t>
  </si>
  <si>
    <t>Espinoza, Obed</t>
  </si>
  <si>
    <t>Garcia, Miriam P.</t>
  </si>
  <si>
    <t>Rodriguez, Abdiel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</si>
</sst>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6"/>
  <sheetViews>
    <sheetView tabSelected="1" workbookViewId="0"/>
  </sheetViews>
  <sheetFormatPr defaultRowHeight="14.4"/>
  <sheetData>
    <row r="1" spans="1:8">
      <c r="A1" t="str">
        <f>"USER_ID"</f>
        <v>USER_ID</v>
      </c>
      <c r="B1" t="str">
        <f>"STATUS_ID"</f>
        <v>STATUS_ID</v>
      </c>
      <c r="C1" t="str">
        <f>"NAME"</f>
        <v>NAME</v>
      </c>
      <c r="D1" t="str">
        <f>"PASSWORD"</f>
        <v>PASSWORD</v>
      </c>
      <c r="E1" t="str">
        <f>"SUPERVISOR_FLAG"</f>
        <v>SUPERVISOR_FLAG</v>
      </c>
      <c r="F1" t="str">
        <f>"RESP_ENG_FLAG"</f>
        <v>RESP_ENG_FLAG</v>
      </c>
      <c r="G1" t="str">
        <f>"MAINT_OPER_FLAG"</f>
        <v>MAINT_OPER_FLAG</v>
      </c>
      <c r="H1" t="str">
        <f>"DOMAIN"</f>
        <v>DOMAIN</v>
      </c>
    </row>
    <row r="2" spans="1:8">
      <c r="A2" t="str">
        <f>"pzuniga"</f>
        <v>pzuniga</v>
      </c>
      <c r="B2" t="str">
        <f t="shared" ref="B2:B14" si="0">"U_ACT"</f>
        <v>U_ACT</v>
      </c>
      <c r="C2" t="str">
        <f>"Pablo Zu?iga"</f>
        <v>Pablo Zu?iga</v>
      </c>
      <c r="D2" t="str">
        <f>"pwbqGBeDrFmu8CxeoGsPI5dYb5AxzIDwaHwPNEPLX70="</f>
        <v>pwbqGBeDrFmu8CxeoGsPI5dYb5AxzIDwaHwPNEPLX70=</v>
      </c>
      <c r="E2" t="str">
        <f>"N"</f>
        <v>N</v>
      </c>
      <c r="F2" t="str">
        <f>"N"</f>
        <v>N</v>
      </c>
      <c r="G2" t="str">
        <f>"Y"</f>
        <v>Y</v>
      </c>
      <c r="H2" t="str">
        <f>"Y"</f>
        <v>Y</v>
      </c>
    </row>
    <row r="3" spans="1:8">
      <c r="A3" t="str">
        <f>"rramones"</f>
        <v>rramones</v>
      </c>
      <c r="B3" t="str">
        <f t="shared" si="0"/>
        <v>U_ACT</v>
      </c>
      <c r="C3" t="str">
        <f>"Raul Ramones"</f>
        <v>Raul Ramones</v>
      </c>
      <c r="D3" t="str">
        <f>"R+sK7FkFfxyMDTJh43RIpxW9UVtEHS7spQi0xUh/m6A="</f>
        <v>R+sK7FkFfxyMDTJh43RIpxW9UVtEHS7spQi0xUh/m6A=</v>
      </c>
      <c r="E3" t="str">
        <f>"N"</f>
        <v>N</v>
      </c>
      <c r="F3" t="str">
        <f>"Y"</f>
        <v>Y</v>
      </c>
      <c r="G3" t="str">
        <f>"N"</f>
        <v>N</v>
      </c>
      <c r="H3" t="str">
        <f>"Y"</f>
        <v>Y</v>
      </c>
    </row>
    <row r="4" spans="1:8">
      <c r="A4" t="str">
        <f>"ageronimo"</f>
        <v>ageronimo</v>
      </c>
      <c r="B4" t="str">
        <f t="shared" si="0"/>
        <v>U_ACT</v>
      </c>
      <c r="C4" t="str">
        <f>"Andres Geronimo"</f>
        <v>Andres Geronimo</v>
      </c>
      <c r="D4" t="str">
        <f>"04b0OTznmuJDXD9XmmMV3C/CYLcbnF/9kQvt7csT4nM="</f>
        <v>04b0OTznmuJDXD9XmmMV3C/CYLcbnF/9kQvt7csT4nM=</v>
      </c>
      <c r="E4" t="str">
        <f>"N"</f>
        <v>N</v>
      </c>
      <c r="F4" t="str">
        <f>"Y"</f>
        <v>Y</v>
      </c>
      <c r="G4" t="str">
        <f>"N"</f>
        <v>N</v>
      </c>
      <c r="H4" t="str">
        <f>"N"</f>
        <v>N</v>
      </c>
    </row>
    <row r="5" spans="1:8">
      <c r="A5" t="str">
        <f>"garaiza"</f>
        <v>garaiza</v>
      </c>
      <c r="B5" t="str">
        <f t="shared" si="0"/>
        <v>U_ACT</v>
      </c>
      <c r="C5" t="str">
        <f>"Gabriela Araiza"</f>
        <v>Gabriela Araiza</v>
      </c>
      <c r="D5" t="str">
        <f>"j0U1Sn2uWWwF26VMaSRdua8pUhQOAkK7ZrwdGTJXjTI="</f>
        <v>j0U1Sn2uWWwF26VMaSRdua8pUhQOAkK7ZrwdGTJXjTI=</v>
      </c>
      <c r="E5" t="str">
        <f>"N"</f>
        <v>N</v>
      </c>
      <c r="F5" t="str">
        <f>"Y"</f>
        <v>Y</v>
      </c>
      <c r="G5" t="str">
        <f>"Y"</f>
        <v>Y</v>
      </c>
      <c r="H5" t="str">
        <f>"Y"</f>
        <v>Y</v>
      </c>
    </row>
    <row r="6" spans="1:8">
      <c r="A6" t="str">
        <f>"egonzalez"</f>
        <v>egonzalez</v>
      </c>
      <c r="B6" t="str">
        <f t="shared" si="0"/>
        <v>U_ACT</v>
      </c>
      <c r="C6" t="str">
        <f>"Edgar Gonzalez"</f>
        <v>Edgar Gonzalez</v>
      </c>
      <c r="D6" t="str">
        <f>"+G0CGlgGIgN2y1mXyIRUaQJA4tpKFDU82pvB8Ki59pU="</f>
        <v>+G0CGlgGIgN2y1mXyIRUaQJA4tpKFDU82pvB8Ki59pU=</v>
      </c>
      <c r="E6" t="str">
        <f>"Y"</f>
        <v>Y</v>
      </c>
      <c r="F6" t="str">
        <f>"N"</f>
        <v>N</v>
      </c>
      <c r="G6" t="str">
        <f>"N"</f>
        <v>N</v>
      </c>
      <c r="H6" t="str">
        <f>"Y"</f>
        <v>Y</v>
      </c>
    </row>
    <row r="7" spans="1:8">
      <c r="A7" t="str">
        <f>"pllamas"</f>
        <v>pllamas</v>
      </c>
      <c r="B7" t="str">
        <f t="shared" si="0"/>
        <v>U_ACT</v>
      </c>
      <c r="C7" t="str">
        <f>"Pedro Llamas"</f>
        <v>Pedro Llamas</v>
      </c>
      <c r="D7" t="str">
        <f>"Xsx6AKRQ2FsJs7pE20nRV0kfTMZQbQhUWHIVfUojQ68="</f>
        <v>Xsx6AKRQ2FsJs7pE20nRV0kfTMZQbQhUWHIVfUojQ68=</v>
      </c>
      <c r="E7" t="str">
        <f>"N"</f>
        <v>N</v>
      </c>
      <c r="F7" t="str">
        <f>"Y"</f>
        <v>Y</v>
      </c>
      <c r="G7" t="str">
        <f>"N"</f>
        <v>N</v>
      </c>
      <c r="H7" t="str">
        <f>"Y"</f>
        <v>Y</v>
      </c>
    </row>
    <row r="8" spans="1:8">
      <c r="A8" t="str">
        <f>"jpacheco"</f>
        <v>jpacheco</v>
      </c>
      <c r="B8" t="str">
        <f t="shared" si="0"/>
        <v>U_ACT</v>
      </c>
      <c r="C8" t="str">
        <f>"Javier Pacheco"</f>
        <v>Javier Pacheco</v>
      </c>
      <c r="D8" t="str">
        <f>"VewRvvP3qzJhmCGTkEhHzHHIWV7/uw46yMB7DvRk7eU="</f>
        <v>VewRvvP3qzJhmCGTkEhHzHHIWV7/uw46yMB7DvRk7eU=</v>
      </c>
      <c r="E8" t="str">
        <f>"N"</f>
        <v>N</v>
      </c>
      <c r="F8" t="str">
        <f>"N"</f>
        <v>N</v>
      </c>
      <c r="G8" t="str">
        <f t="shared" ref="G8:G14" si="1">"Y"</f>
        <v>Y</v>
      </c>
      <c r="H8" t="str">
        <f>"Y"</f>
        <v>Y</v>
      </c>
    </row>
    <row r="9" spans="1:8">
      <c r="A9" t="str">
        <f>"lramos"</f>
        <v>lramos</v>
      </c>
      <c r="B9" t="str">
        <f t="shared" si="0"/>
        <v>U_ACT</v>
      </c>
      <c r="C9" t="str">
        <f>"Luis Ramos"</f>
        <v>Luis Ramos</v>
      </c>
      <c r="D9" t="str">
        <f>"noPasswd"</f>
        <v>noPasswd</v>
      </c>
      <c r="E9" t="str">
        <f>"N"</f>
        <v>N</v>
      </c>
      <c r="F9" t="str">
        <f>"N"</f>
        <v>N</v>
      </c>
      <c r="G9" t="str">
        <f t="shared" si="1"/>
        <v>Y</v>
      </c>
      <c r="H9" t="str">
        <f>"N"</f>
        <v>N</v>
      </c>
    </row>
    <row r="10" spans="1:8">
      <c r="A10" t="str">
        <f>"alopez"</f>
        <v>alopez</v>
      </c>
      <c r="B10" t="str">
        <f t="shared" si="0"/>
        <v>U_ACT</v>
      </c>
      <c r="C10" t="s">
        <v>0</v>
      </c>
      <c r="D10" t="str">
        <f>"D9aKCUuqwqH3b5JtF+3Khh0pPVq6y0k5X4p6jGnCjtk="</f>
        <v>D9aKCUuqwqH3b5JtF+3Khh0pPVq6y0k5X4p6jGnCjtk=</v>
      </c>
      <c r="E10" t="str">
        <f>"Y"</f>
        <v>Y</v>
      </c>
      <c r="F10" t="str">
        <f>"Y"</f>
        <v>Y</v>
      </c>
      <c r="G10" t="str">
        <f t="shared" si="1"/>
        <v>Y</v>
      </c>
      <c r="H10" t="str">
        <f>"Y"</f>
        <v>Y</v>
      </c>
    </row>
    <row r="11" spans="1:8">
      <c r="A11" t="str">
        <f>"ncisneros"</f>
        <v>ncisneros</v>
      </c>
      <c r="B11" t="str">
        <f t="shared" si="0"/>
        <v>U_ACT</v>
      </c>
      <c r="C11" t="str">
        <f>"Cisneros Olvera Nancy D."</f>
        <v>Cisneros Olvera Nancy D.</v>
      </c>
      <c r="D11" t="str">
        <f>"+mzb4zcB2BumBET2L7YQKv53rQ4Ykf6TU7E7rYR40JY="</f>
        <v>+mzb4zcB2BumBET2L7YQKv53rQ4Ykf6TU7E7rYR40JY=</v>
      </c>
      <c r="E11" t="str">
        <f t="shared" ref="E11:F13" si="2">"N"</f>
        <v>N</v>
      </c>
      <c r="F11" t="str">
        <f t="shared" si="2"/>
        <v>N</v>
      </c>
      <c r="G11" t="str">
        <f t="shared" si="1"/>
        <v>Y</v>
      </c>
      <c r="H11" t="str">
        <f>"Y"</f>
        <v>Y</v>
      </c>
    </row>
    <row r="12" spans="1:8">
      <c r="A12" t="str">
        <f>"ecortes"</f>
        <v>ecortes</v>
      </c>
      <c r="B12" t="str">
        <f t="shared" si="0"/>
        <v>U_ACT</v>
      </c>
      <c r="C12" t="str">
        <f>"Luis Efrain Cortes Gami?o"</f>
        <v>Luis Efrain Cortes Gami?o</v>
      </c>
      <c r="D12" t="str">
        <f>"+G0CGlgGIgN2y1mXyIRUaQJA4tpKFDU82pvB8Ki59pU="</f>
        <v>+G0CGlgGIgN2y1mXyIRUaQJA4tpKFDU82pvB8Ki59pU=</v>
      </c>
      <c r="E12" t="str">
        <f t="shared" si="2"/>
        <v>N</v>
      </c>
      <c r="F12" t="str">
        <f t="shared" si="2"/>
        <v>N</v>
      </c>
      <c r="G12" t="str">
        <f t="shared" si="1"/>
        <v>Y</v>
      </c>
      <c r="H12" t="str">
        <f>"Y"</f>
        <v>Y</v>
      </c>
    </row>
    <row r="13" spans="1:8">
      <c r="A13" t="str">
        <f>"nrivera"</f>
        <v>nrivera</v>
      </c>
      <c r="B13" t="str">
        <f t="shared" si="0"/>
        <v>U_ACT</v>
      </c>
      <c r="C13" t="str">
        <f>"Nubia Rivera"</f>
        <v>Nubia Rivera</v>
      </c>
      <c r="D13" t="str">
        <f>"noPasswd"</f>
        <v>noPasswd</v>
      </c>
      <c r="E13" t="str">
        <f t="shared" si="2"/>
        <v>N</v>
      </c>
      <c r="F13" t="str">
        <f t="shared" si="2"/>
        <v>N</v>
      </c>
      <c r="G13" t="str">
        <f t="shared" si="1"/>
        <v>Y</v>
      </c>
      <c r="H13" t="str">
        <f>"N"</f>
        <v>N</v>
      </c>
    </row>
    <row r="14" spans="1:8">
      <c r="A14" t="str">
        <f>"vvelazco"</f>
        <v>vvelazco</v>
      </c>
      <c r="B14" t="str">
        <f t="shared" si="0"/>
        <v>U_ACT</v>
      </c>
      <c r="C14" t="str">
        <f>"Victor Hugo Velazco"</f>
        <v>Victor Hugo Velazco</v>
      </c>
      <c r="D14" t="str">
        <f>"vWhmrplZBHrRFI9sUiBBpB2VxG4np3g8tIybdJY5KwE="</f>
        <v>vWhmrplZBHrRFI9sUiBBpB2VxG4np3g8tIybdJY5KwE=</v>
      </c>
      <c r="E14" t="str">
        <f>"Y"</f>
        <v>Y</v>
      </c>
      <c r="F14" t="str">
        <f>"Y"</f>
        <v>Y</v>
      </c>
      <c r="G14" t="str">
        <f t="shared" si="1"/>
        <v>Y</v>
      </c>
      <c r="H14" t="str">
        <f>"Y"</f>
        <v>Y</v>
      </c>
    </row>
    <row r="15" spans="1:8">
      <c r="A15" t="str">
        <f>"ateran"</f>
        <v>ateran</v>
      </c>
      <c r="B15" t="str">
        <f>"U_BLO"</f>
        <v>U_BLO</v>
      </c>
      <c r="C15" t="s">
        <v>1</v>
      </c>
      <c r="D15" t="str">
        <f>"e92ah0NG8iILfQJiq+/ge8ACCKC4EP4/ARcj918nVlo="</f>
        <v>e92ah0NG8iILfQJiq+/ge8ACCKC4EP4/ARcj918nVlo=</v>
      </c>
      <c r="E15" t="str">
        <f>"N"</f>
        <v>N</v>
      </c>
      <c r="F15" t="str">
        <f>"N"</f>
        <v>N</v>
      </c>
      <c r="G15" t="str">
        <f>"N"</f>
        <v>N</v>
      </c>
      <c r="H15" t="str">
        <f>"Y"</f>
        <v>Y</v>
      </c>
    </row>
    <row r="16" spans="1:8">
      <c r="A16" t="str">
        <f>"cjalanis"</f>
        <v>cjalanis</v>
      </c>
      <c r="B16" t="str">
        <f t="shared" ref="B16:B43" si="3">"U_ACT"</f>
        <v>U_ACT</v>
      </c>
      <c r="C16" t="s">
        <v>2</v>
      </c>
      <c r="D16" t="str">
        <f>"dGYcnVv/dlVpBBPZ8SUZkGRFjKMlTlslCBaQHg4uqPE="</f>
        <v>dGYcnVv/dlVpBBPZ8SUZkGRFjKMlTlslCBaQHg4uqPE=</v>
      </c>
      <c r="E16" t="str">
        <f t="shared" ref="E16:E42" si="4">"N"</f>
        <v>N</v>
      </c>
      <c r="F16" t="str">
        <f>"Y"</f>
        <v>Y</v>
      </c>
      <c r="G16" t="str">
        <f>"Y"</f>
        <v>Y</v>
      </c>
      <c r="H16" t="str">
        <f>"N"</f>
        <v>N</v>
      </c>
    </row>
    <row r="17" spans="1:8">
      <c r="A17" t="str">
        <f>"mjezzini"</f>
        <v>mjezzini</v>
      </c>
      <c r="B17" t="str">
        <f t="shared" si="3"/>
        <v>U_ACT</v>
      </c>
      <c r="C17" t="s">
        <v>3</v>
      </c>
      <c r="D17" t="str">
        <f>"HfaTfzfO8NgRGN0iHJgiwImF933bXP9vR06eJRhwfs4="</f>
        <v>HfaTfzfO8NgRGN0iHJgiwImF933bXP9vR06eJRhwfs4=</v>
      </c>
      <c r="E17" t="str">
        <f t="shared" si="4"/>
        <v>N</v>
      </c>
      <c r="F17" t="str">
        <f>"Y"</f>
        <v>Y</v>
      </c>
      <c r="G17" t="str">
        <f>"N"</f>
        <v>N</v>
      </c>
      <c r="H17" t="str">
        <f>"Y"</f>
        <v>Y</v>
      </c>
    </row>
    <row r="18" spans="1:8">
      <c r="A18" t="str">
        <f>"cnunez"</f>
        <v>cnunez</v>
      </c>
      <c r="B18" t="str">
        <f t="shared" si="3"/>
        <v>U_ACT</v>
      </c>
      <c r="C18" t="s">
        <v>4</v>
      </c>
      <c r="D18" t="str">
        <f>"A+at6qkMSV3fmIfkuVNp14Wgs8r++1QMrzMSroxsghk="</f>
        <v>A+at6qkMSV3fmIfkuVNp14Wgs8r++1QMrzMSroxsghk=</v>
      </c>
      <c r="E18" t="str">
        <f t="shared" si="4"/>
        <v>N</v>
      </c>
      <c r="F18" t="str">
        <f>"N"</f>
        <v>N</v>
      </c>
      <c r="G18" t="str">
        <f t="shared" ref="G18:G39" si="5">"Y"</f>
        <v>Y</v>
      </c>
      <c r="H18" t="str">
        <f>"Y"</f>
        <v>Y</v>
      </c>
    </row>
    <row r="19" spans="1:8">
      <c r="A19" t="str">
        <f>"mtorres"</f>
        <v>mtorres</v>
      </c>
      <c r="B19" t="str">
        <f t="shared" si="3"/>
        <v>U_ACT</v>
      </c>
      <c r="C19" t="s">
        <v>5</v>
      </c>
      <c r="D19" t="str">
        <f>"I+sxMVFUnOYfeEOv3cQuC/Hj5JJGWctGrDrK1/XUyBw="</f>
        <v>I+sxMVFUnOYfeEOv3cQuC/Hj5JJGWctGrDrK1/XUyBw=</v>
      </c>
      <c r="E19" t="str">
        <f t="shared" si="4"/>
        <v>N</v>
      </c>
      <c r="F19" t="str">
        <f>"Y"</f>
        <v>Y</v>
      </c>
      <c r="G19" t="str">
        <f t="shared" si="5"/>
        <v>Y</v>
      </c>
      <c r="H19" t="str">
        <f>"Y"</f>
        <v>Y</v>
      </c>
    </row>
    <row r="20" spans="1:8">
      <c r="A20" t="str">
        <f>"jccastillo"</f>
        <v>jccastillo</v>
      </c>
      <c r="B20" t="str">
        <f t="shared" si="3"/>
        <v>U_ACT</v>
      </c>
      <c r="C20" t="str">
        <f>"Juan Carlos Castillo"</f>
        <v>Juan Carlos Castillo</v>
      </c>
      <c r="D20" t="str">
        <f>"pJycgrUT0lFxo5NLnQCOuo+WxcbyxdUIrpYBE3Tx6HA="</f>
        <v>pJycgrUT0lFxo5NLnQCOuo+WxcbyxdUIrpYBE3Tx6HA=</v>
      </c>
      <c r="E20" t="str">
        <f t="shared" si="4"/>
        <v>N</v>
      </c>
      <c r="F20" t="str">
        <f t="shared" ref="F20:F25" si="6">"N"</f>
        <v>N</v>
      </c>
      <c r="G20" t="str">
        <f t="shared" si="5"/>
        <v>Y</v>
      </c>
      <c r="H20" t="str">
        <f>"N"</f>
        <v>N</v>
      </c>
    </row>
    <row r="21" spans="1:8">
      <c r="A21" t="str">
        <f>"hclemente"</f>
        <v>hclemente</v>
      </c>
      <c r="B21" t="str">
        <f t="shared" si="3"/>
        <v>U_ACT</v>
      </c>
      <c r="C21" t="s">
        <v>6</v>
      </c>
      <c r="D21" t="str">
        <f>"sgb+onLulZpqXo/0NiPS+9tH61KMn77Cvoj8Oitw47g="</f>
        <v>sgb+onLulZpqXo/0NiPS+9tH61KMn77Cvoj8Oitw47g=</v>
      </c>
      <c r="E21" t="str">
        <f t="shared" si="4"/>
        <v>N</v>
      </c>
      <c r="F21" t="str">
        <f t="shared" si="6"/>
        <v>N</v>
      </c>
      <c r="G21" t="str">
        <f t="shared" si="5"/>
        <v>Y</v>
      </c>
      <c r="H21" t="str">
        <f t="shared" ref="H21:H30" si="7">"Y"</f>
        <v>Y</v>
      </c>
    </row>
    <row r="22" spans="1:8">
      <c r="A22" t="str">
        <f>"jejimenezm"</f>
        <v>jejimenezm</v>
      </c>
      <c r="B22" t="str">
        <f t="shared" si="3"/>
        <v>U_ACT</v>
      </c>
      <c r="C22" t="s">
        <v>7</v>
      </c>
      <c r="D22" t="str">
        <f>"+G0CGlgGIgN2y1mXyIRUaQJA4tpKFDU82pvB8Ki59pU="</f>
        <v>+G0CGlgGIgN2y1mXyIRUaQJA4tpKFDU82pvB8Ki59pU=</v>
      </c>
      <c r="E22" t="str">
        <f t="shared" si="4"/>
        <v>N</v>
      </c>
      <c r="F22" t="str">
        <f t="shared" si="6"/>
        <v>N</v>
      </c>
      <c r="G22" t="str">
        <f t="shared" si="5"/>
        <v>Y</v>
      </c>
      <c r="H22" t="str">
        <f t="shared" si="7"/>
        <v>Y</v>
      </c>
    </row>
    <row r="23" spans="1:8">
      <c r="A23" t="str">
        <f>"esaucedo"</f>
        <v>esaucedo</v>
      </c>
      <c r="B23" t="str">
        <f t="shared" si="3"/>
        <v>U_ACT</v>
      </c>
      <c r="C23" t="s">
        <v>8</v>
      </c>
      <c r="D23" t="str">
        <f>"+G0CGlgGIgN2y1mXyIRUaQJA4tpKFDU82pvB8Ki59pU="</f>
        <v>+G0CGlgGIgN2y1mXyIRUaQJA4tpKFDU82pvB8Ki59pU=</v>
      </c>
      <c r="E23" t="str">
        <f t="shared" si="4"/>
        <v>N</v>
      </c>
      <c r="F23" t="str">
        <f t="shared" si="6"/>
        <v>N</v>
      </c>
      <c r="G23" t="str">
        <f t="shared" si="5"/>
        <v>Y</v>
      </c>
      <c r="H23" t="str">
        <f t="shared" si="7"/>
        <v>Y</v>
      </c>
    </row>
    <row r="24" spans="1:8">
      <c r="A24" t="str">
        <f>"javaladez"</f>
        <v>javaladez</v>
      </c>
      <c r="B24" t="str">
        <f t="shared" si="3"/>
        <v>U_ACT</v>
      </c>
      <c r="C24" t="s">
        <v>9</v>
      </c>
      <c r="D24" t="str">
        <f>"kea1el5S9wZRPgOZ8gLBxwkzC/2lvqgvNdnTMVmpH+E="</f>
        <v>kea1el5S9wZRPgOZ8gLBxwkzC/2lvqgvNdnTMVmpH+E=</v>
      </c>
      <c r="E24" t="str">
        <f t="shared" si="4"/>
        <v>N</v>
      </c>
      <c r="F24" t="str">
        <f t="shared" si="6"/>
        <v>N</v>
      </c>
      <c r="G24" t="str">
        <f t="shared" si="5"/>
        <v>Y</v>
      </c>
      <c r="H24" t="str">
        <f t="shared" si="7"/>
        <v>Y</v>
      </c>
    </row>
    <row r="25" spans="1:8">
      <c r="A25" t="str">
        <f>"alperez"</f>
        <v>alperez</v>
      </c>
      <c r="B25" t="str">
        <f t="shared" si="3"/>
        <v>U_ACT</v>
      </c>
      <c r="C25" t="s">
        <v>10</v>
      </c>
      <c r="D25" t="str">
        <f>"kx1V2R8oh7KPtG4/KN81vHdCEnES1Ra6pDikD0tkTDE="</f>
        <v>kx1V2R8oh7KPtG4/KN81vHdCEnES1Ra6pDikD0tkTDE=</v>
      </c>
      <c r="E25" t="str">
        <f t="shared" si="4"/>
        <v>N</v>
      </c>
      <c r="F25" t="str">
        <f t="shared" si="6"/>
        <v>N</v>
      </c>
      <c r="G25" t="str">
        <f t="shared" si="5"/>
        <v>Y</v>
      </c>
      <c r="H25" t="str">
        <f t="shared" si="7"/>
        <v>Y</v>
      </c>
    </row>
    <row r="26" spans="1:8">
      <c r="A26" t="str">
        <f>"rfernandez"</f>
        <v>rfernandez</v>
      </c>
      <c r="B26" t="str">
        <f t="shared" si="3"/>
        <v>U_ACT</v>
      </c>
      <c r="C26" t="str">
        <f>"Raul Fernandez"</f>
        <v>Raul Fernandez</v>
      </c>
      <c r="D26" t="str">
        <f>"btXO0tEDGaB0iR3wjG+sZr1NKVRu/O+jOvrUOZ2fV38="</f>
        <v>btXO0tEDGaB0iR3wjG+sZr1NKVRu/O+jOvrUOZ2fV38=</v>
      </c>
      <c r="E26" t="str">
        <f t="shared" si="4"/>
        <v>N</v>
      </c>
      <c r="F26" t="str">
        <f>"Y"</f>
        <v>Y</v>
      </c>
      <c r="G26" t="str">
        <f t="shared" si="5"/>
        <v>Y</v>
      </c>
      <c r="H26" t="str">
        <f t="shared" si="7"/>
        <v>Y</v>
      </c>
    </row>
    <row r="27" spans="1:8">
      <c r="A27" t="str">
        <f>"dzapata"</f>
        <v>dzapata</v>
      </c>
      <c r="B27" t="str">
        <f t="shared" si="3"/>
        <v>U_ACT</v>
      </c>
      <c r="C27" t="str">
        <f>"Daniel Zapata"</f>
        <v>Daniel Zapata</v>
      </c>
      <c r="D27" t="str">
        <f>"h6JOFe3Quy2nTynLWZud/ZwPXjRDustNlS2SOlwVY9M="</f>
        <v>h6JOFe3Quy2nTynLWZud/ZwPXjRDustNlS2SOlwVY9M=</v>
      </c>
      <c r="E27" t="str">
        <f t="shared" si="4"/>
        <v>N</v>
      </c>
      <c r="F27" t="str">
        <f>"Y"</f>
        <v>Y</v>
      </c>
      <c r="G27" t="str">
        <f t="shared" si="5"/>
        <v>Y</v>
      </c>
      <c r="H27" t="str">
        <f t="shared" si="7"/>
        <v>Y</v>
      </c>
    </row>
    <row r="28" spans="1:8">
      <c r="A28" t="str">
        <f>"evaldez"</f>
        <v>evaldez</v>
      </c>
      <c r="B28" t="str">
        <f t="shared" si="3"/>
        <v>U_ACT</v>
      </c>
      <c r="C28" t="s">
        <v>11</v>
      </c>
      <c r="D28" t="str">
        <f>"LN4RwZzNfswWguJMWthZR8Rbh8jVb69RfZJrUBkksFk="</f>
        <v>LN4RwZzNfswWguJMWthZR8Rbh8jVb69RfZJrUBkksFk=</v>
      </c>
      <c r="E28" t="str">
        <f t="shared" si="4"/>
        <v>N</v>
      </c>
      <c r="F28" t="str">
        <f>"N"</f>
        <v>N</v>
      </c>
      <c r="G28" t="str">
        <f t="shared" si="5"/>
        <v>Y</v>
      </c>
      <c r="H28" t="str">
        <f t="shared" si="7"/>
        <v>Y</v>
      </c>
    </row>
    <row r="29" spans="1:8">
      <c r="A29" t="str">
        <f>"jjcastillo"</f>
        <v>jjcastillo</v>
      </c>
      <c r="B29" t="str">
        <f t="shared" si="3"/>
        <v>U_ACT</v>
      </c>
      <c r="C29" t="s">
        <v>12</v>
      </c>
      <c r="D29" t="str">
        <f>"r5Ki8eeWYK7i9QCwWH3Ksl8EIyXHMNxsyD0AvDeD98Q="</f>
        <v>r5Ki8eeWYK7i9QCwWH3Ksl8EIyXHMNxsyD0AvDeD98Q=</v>
      </c>
      <c r="E29" t="str">
        <f t="shared" si="4"/>
        <v>N</v>
      </c>
      <c r="F29" t="str">
        <f>"N"</f>
        <v>N</v>
      </c>
      <c r="G29" t="str">
        <f t="shared" si="5"/>
        <v>Y</v>
      </c>
      <c r="H29" t="str">
        <f t="shared" si="7"/>
        <v>Y</v>
      </c>
    </row>
    <row r="30" spans="1:8">
      <c r="A30" t="str">
        <f>"maguerrero"</f>
        <v>maguerrero</v>
      </c>
      <c r="B30" t="str">
        <f t="shared" si="3"/>
        <v>U_ACT</v>
      </c>
      <c r="C30" t="s">
        <v>13</v>
      </c>
      <c r="D30" t="str">
        <f>"GmLMTySE3gmiH1f0HabKJUHSX49cNLASFwJspFEdUYA="</f>
        <v>GmLMTySE3gmiH1f0HabKJUHSX49cNLASFwJspFEdUYA=</v>
      </c>
      <c r="E30" t="str">
        <f t="shared" si="4"/>
        <v>N</v>
      </c>
      <c r="F30" t="str">
        <f>"N"</f>
        <v>N</v>
      </c>
      <c r="G30" t="str">
        <f t="shared" si="5"/>
        <v>Y</v>
      </c>
      <c r="H30" t="str">
        <f t="shared" si="7"/>
        <v>Y</v>
      </c>
    </row>
    <row r="31" spans="1:8">
      <c r="A31" t="str">
        <f>"orsalinas"</f>
        <v>orsalinas</v>
      </c>
      <c r="B31" t="str">
        <f t="shared" si="3"/>
        <v>U_ACT</v>
      </c>
      <c r="C31" t="s">
        <v>14</v>
      </c>
      <c r="D31" t="str">
        <f>"ZAtW4Vvl3+noZOh+EtT2WfmWzexGek/MAKLHaaa4kTg="</f>
        <v>ZAtW4Vvl3+noZOh+EtT2WfmWzexGek/MAKLHaaa4kTg=</v>
      </c>
      <c r="E31" t="str">
        <f t="shared" si="4"/>
        <v>N</v>
      </c>
      <c r="F31" t="str">
        <f>"Y"</f>
        <v>Y</v>
      </c>
      <c r="G31" t="str">
        <f t="shared" si="5"/>
        <v>Y</v>
      </c>
      <c r="H31" t="str">
        <f>"N"</f>
        <v>N</v>
      </c>
    </row>
    <row r="32" spans="1:8">
      <c r="A32" t="str">
        <f>"jorge.a.espindola"</f>
        <v>jorge.a.espindola</v>
      </c>
      <c r="B32" t="str">
        <f t="shared" si="3"/>
        <v>U_ACT</v>
      </c>
      <c r="C32" t="s">
        <v>15</v>
      </c>
      <c r="D32" t="str">
        <f>"ZFg7YzNNjHFCDUnM+wJbHWlyv58+X2eBfAd+gmGSQcA="</f>
        <v>ZFg7YzNNjHFCDUnM+wJbHWlyv58+X2eBfAd+gmGSQcA=</v>
      </c>
      <c r="E32" t="str">
        <f t="shared" si="4"/>
        <v>N</v>
      </c>
      <c r="F32" t="str">
        <f t="shared" ref="F32:F42" si="8">"N"</f>
        <v>N</v>
      </c>
      <c r="G32" t="str">
        <f t="shared" si="5"/>
        <v>Y</v>
      </c>
      <c r="H32" t="str">
        <f>"Y"</f>
        <v>Y</v>
      </c>
    </row>
    <row r="33" spans="1:8">
      <c r="A33" t="str">
        <f>"jacqueline.gomez"</f>
        <v>jacqueline.gomez</v>
      </c>
      <c r="B33" t="str">
        <f t="shared" si="3"/>
        <v>U_ACT</v>
      </c>
      <c r="C33" t="s">
        <v>16</v>
      </c>
      <c r="D33" t="str">
        <f>"cnfZn/1yXi+YKF/VvYutdN4pKmE0oKgme3IXbi6RETc="</f>
        <v>cnfZn/1yXi+YKF/VvYutdN4pKmE0oKgme3IXbi6RETc=</v>
      </c>
      <c r="E33" t="str">
        <f t="shared" si="4"/>
        <v>N</v>
      </c>
      <c r="F33" t="str">
        <f t="shared" si="8"/>
        <v>N</v>
      </c>
      <c r="G33" t="str">
        <f t="shared" si="5"/>
        <v>Y</v>
      </c>
      <c r="H33" t="str">
        <f>"Y"</f>
        <v>Y</v>
      </c>
    </row>
    <row r="34" spans="1:8">
      <c r="A34" t="str">
        <f>"mario.hernandez"</f>
        <v>mario.hernandez</v>
      </c>
      <c r="B34" t="str">
        <f t="shared" si="3"/>
        <v>U_ACT</v>
      </c>
      <c r="C34" t="s">
        <v>17</v>
      </c>
      <c r="D34" t="str">
        <f>"+G0CGlgGIgN2y1mXyIRUaQJA4tpKFDU82pvB8Ki59pU="</f>
        <v>+G0CGlgGIgN2y1mXyIRUaQJA4tpKFDU82pvB8Ki59pU=</v>
      </c>
      <c r="E34" t="str">
        <f t="shared" si="4"/>
        <v>N</v>
      </c>
      <c r="F34" t="str">
        <f t="shared" si="8"/>
        <v>N</v>
      </c>
      <c r="G34" t="str">
        <f t="shared" si="5"/>
        <v>Y</v>
      </c>
      <c r="H34" t="str">
        <f>"N"</f>
        <v>N</v>
      </c>
    </row>
    <row r="35" spans="1:8">
      <c r="A35" t="str">
        <f>"cesar.e.martinez"</f>
        <v>cesar.e.martinez</v>
      </c>
      <c r="B35" t="str">
        <f t="shared" si="3"/>
        <v>U_ACT</v>
      </c>
      <c r="C35" t="s">
        <v>18</v>
      </c>
      <c r="D35" t="str">
        <f>"+G0CGlgGIgN2y1mXyIRUaQJA4tpKFDU82pvB8Ki59pU="</f>
        <v>+G0CGlgGIgN2y1mXyIRUaQJA4tpKFDU82pvB8Ki59pU=</v>
      </c>
      <c r="E35" t="str">
        <f t="shared" si="4"/>
        <v>N</v>
      </c>
      <c r="F35" t="str">
        <f t="shared" si="8"/>
        <v>N</v>
      </c>
      <c r="G35" t="str">
        <f t="shared" si="5"/>
        <v>Y</v>
      </c>
      <c r="H35" t="str">
        <f>"N"</f>
        <v>N</v>
      </c>
    </row>
    <row r="36" spans="1:8">
      <c r="A36" t="str">
        <f>"veronica.flores"</f>
        <v>veronica.flores</v>
      </c>
      <c r="B36" t="str">
        <f t="shared" si="3"/>
        <v>U_ACT</v>
      </c>
      <c r="C36" t="s">
        <v>19</v>
      </c>
      <c r="D36" t="str">
        <f>"+G0CGlgGIgN2y1mXyIRUaQJA4tpKFDU82pvB8Ki59pU="</f>
        <v>+G0CGlgGIgN2y1mXyIRUaQJA4tpKFDU82pvB8Ki59pU=</v>
      </c>
      <c r="E36" t="str">
        <f t="shared" si="4"/>
        <v>N</v>
      </c>
      <c r="F36" t="str">
        <f t="shared" si="8"/>
        <v>N</v>
      </c>
      <c r="G36" t="str">
        <f t="shared" si="5"/>
        <v>Y</v>
      </c>
      <c r="H36" t="str">
        <f>"N"</f>
        <v>N</v>
      </c>
    </row>
    <row r="37" spans="1:8">
      <c r="A37" t="str">
        <f>"adrian.perales"</f>
        <v>adrian.perales</v>
      </c>
      <c r="B37" t="str">
        <f t="shared" si="3"/>
        <v>U_ACT</v>
      </c>
      <c r="C37" t="s">
        <v>20</v>
      </c>
      <c r="D37" t="str">
        <f>"h1Fg3k2i9QtvRyFOQL4JDsSM6A4SuaRgSXkUyg76hqw="</f>
        <v>h1Fg3k2i9QtvRyFOQL4JDsSM6A4SuaRgSXkUyg76hqw=</v>
      </c>
      <c r="E37" t="str">
        <f t="shared" si="4"/>
        <v>N</v>
      </c>
      <c r="F37" t="str">
        <f t="shared" si="8"/>
        <v>N</v>
      </c>
      <c r="G37" t="str">
        <f t="shared" si="5"/>
        <v>Y</v>
      </c>
      <c r="H37" t="str">
        <f>"Y"</f>
        <v>Y</v>
      </c>
    </row>
    <row r="38" spans="1:8">
      <c r="A38" t="str">
        <f>"carlos.flores"</f>
        <v>carlos.flores</v>
      </c>
      <c r="B38" t="str">
        <f t="shared" si="3"/>
        <v>U_ACT</v>
      </c>
      <c r="C38" t="s">
        <v>21</v>
      </c>
      <c r="D38" t="str">
        <f>"+G0CGlgGIgN2y1mXyIRUaQJA4tpKFDU82pvB8Ki59pU="</f>
        <v>+G0CGlgGIgN2y1mXyIRUaQJA4tpKFDU82pvB8Ki59pU=</v>
      </c>
      <c r="E38" t="str">
        <f t="shared" si="4"/>
        <v>N</v>
      </c>
      <c r="F38" t="str">
        <f t="shared" si="8"/>
        <v>N</v>
      </c>
      <c r="G38" t="str">
        <f t="shared" si="5"/>
        <v>Y</v>
      </c>
      <c r="H38" t="str">
        <f>"N"</f>
        <v>N</v>
      </c>
    </row>
    <row r="39" spans="1:8">
      <c r="A39" t="str">
        <f>"gabriel.gutierrez"</f>
        <v>gabriel.gutierrez</v>
      </c>
      <c r="B39" t="str">
        <f t="shared" si="3"/>
        <v>U_ACT</v>
      </c>
      <c r="C39" t="s">
        <v>22</v>
      </c>
      <c r="D39" t="str">
        <f>"+G0CGlgGIgN2y1mXyIRUaQJA4tpKFDU82pvB8Ki59pU="</f>
        <v>+G0CGlgGIgN2y1mXyIRUaQJA4tpKFDU82pvB8Ki59pU=</v>
      </c>
      <c r="E39" t="str">
        <f t="shared" si="4"/>
        <v>N</v>
      </c>
      <c r="F39" t="str">
        <f t="shared" si="8"/>
        <v>N</v>
      </c>
      <c r="G39" t="str">
        <f t="shared" si="5"/>
        <v>Y</v>
      </c>
      <c r="H39" t="str">
        <f>"N"</f>
        <v>N</v>
      </c>
    </row>
    <row r="40" spans="1:8">
      <c r="A40" t="str">
        <f>"eduardo.ramirez"</f>
        <v>eduardo.ramirez</v>
      </c>
      <c r="B40" t="str">
        <f t="shared" si="3"/>
        <v>U_ACT</v>
      </c>
      <c r="C40" t="str">
        <f>"Eduardo Ramirez Jimenez"</f>
        <v>Eduardo Ramirez Jimenez</v>
      </c>
      <c r="D40" t="str">
        <f>"+G0CGlgGIgN2y1mXyIRUaQJA4tpKFDU82pvB8Ki59pU="</f>
        <v>+G0CGlgGIgN2y1mXyIRUaQJA4tpKFDU82pvB8Ki59pU=</v>
      </c>
      <c r="E40" t="str">
        <f t="shared" si="4"/>
        <v>N</v>
      </c>
      <c r="F40" t="str">
        <f t="shared" si="8"/>
        <v>N</v>
      </c>
      <c r="G40" t="str">
        <f>"N"</f>
        <v>N</v>
      </c>
      <c r="H40" t="str">
        <f>"Y"</f>
        <v>Y</v>
      </c>
    </row>
    <row r="41" spans="1:8">
      <c r="A41" t="str">
        <f>"roberto.cruz"</f>
        <v>roberto.cruz</v>
      </c>
      <c r="B41" t="str">
        <f t="shared" si="3"/>
        <v>U_ACT</v>
      </c>
      <c r="C41" t="s">
        <v>23</v>
      </c>
      <c r="D41" t="str">
        <f>"+G0CGlgGIgN2y1mXyIRUaQJA4tpKFDU82pvB8Ki59pU="</f>
        <v>+G0CGlgGIgN2y1mXyIRUaQJA4tpKFDU82pvB8Ki59pU=</v>
      </c>
      <c r="E41" t="str">
        <f t="shared" si="4"/>
        <v>N</v>
      </c>
      <c r="F41" t="str">
        <f t="shared" si="8"/>
        <v>N</v>
      </c>
      <c r="G41" t="str">
        <f t="shared" ref="G41:G46" si="9">"Y"</f>
        <v>Y</v>
      </c>
      <c r="H41" t="str">
        <f>"N"</f>
        <v>N</v>
      </c>
    </row>
    <row r="42" spans="1:8">
      <c r="A42" t="str">
        <f>"jatorres"</f>
        <v>jatorres</v>
      </c>
      <c r="B42" t="str">
        <f t="shared" si="3"/>
        <v>U_ACT</v>
      </c>
      <c r="C42" t="str">
        <f>"Jorge Torres"</f>
        <v>Jorge Torres</v>
      </c>
      <c r="D42" t="str">
        <f>"Qfb9/u7r2JdbT4JLBTfXFyDmnYGYkV+V5Grput3jAcU="</f>
        <v>Qfb9/u7r2JdbT4JLBTfXFyDmnYGYkV+V5Grput3jAcU=</v>
      </c>
      <c r="E42" t="str">
        <f t="shared" si="4"/>
        <v>N</v>
      </c>
      <c r="F42" t="str">
        <f t="shared" si="8"/>
        <v>N</v>
      </c>
      <c r="G42" t="str">
        <f t="shared" si="9"/>
        <v>Y</v>
      </c>
      <c r="H42" t="str">
        <f t="shared" ref="H42:H48" si="10">"Y"</f>
        <v>Y</v>
      </c>
    </row>
    <row r="43" spans="1:8">
      <c r="A43" t="str">
        <f>"jherrera"</f>
        <v>jherrera</v>
      </c>
      <c r="B43" t="str">
        <f t="shared" si="3"/>
        <v>U_ACT</v>
      </c>
      <c r="C43" t="str">
        <f>"Jorge Herrera"</f>
        <v>Jorge Herrera</v>
      </c>
      <c r="D43" t="str">
        <f>"+G0CGlgGIgN2y1mXyIRUaQJA4tpKFDU82pvB8Ki59pU="</f>
        <v>+G0CGlgGIgN2y1mXyIRUaQJA4tpKFDU82pvB8Ki59pU=</v>
      </c>
      <c r="E43" t="str">
        <f>"Y"</f>
        <v>Y</v>
      </c>
      <c r="F43" t="str">
        <f>"Y"</f>
        <v>Y</v>
      </c>
      <c r="G43" t="str">
        <f t="shared" si="9"/>
        <v>Y</v>
      </c>
      <c r="H43" t="str">
        <f t="shared" si="10"/>
        <v>Y</v>
      </c>
    </row>
    <row r="44" spans="1:8">
      <c r="A44" t="str">
        <f>"evazquez"</f>
        <v>evazquez</v>
      </c>
      <c r="B44" t="str">
        <f>"U_BLO"</f>
        <v>U_BLO</v>
      </c>
      <c r="C44" t="str">
        <f>"Edgar Ricardo Vazquez"</f>
        <v>Edgar Ricardo Vazquez</v>
      </c>
      <c r="D44" t="str">
        <f>"Dsr2xCf/9k7U26YBxu8fbAOl9sHdmx3iP7JDWwQ6dlA="</f>
        <v>Dsr2xCf/9k7U26YBxu8fbAOl9sHdmx3iP7JDWwQ6dlA=</v>
      </c>
      <c r="E44" t="str">
        <f>"Y"</f>
        <v>Y</v>
      </c>
      <c r="F44" t="str">
        <f>"Y"</f>
        <v>Y</v>
      </c>
      <c r="G44" t="str">
        <f t="shared" si="9"/>
        <v>Y</v>
      </c>
      <c r="H44" t="str">
        <f t="shared" si="10"/>
        <v>Y</v>
      </c>
    </row>
    <row r="45" spans="1:8">
      <c r="A45" t="str">
        <f>"bsanchez"</f>
        <v>bsanchez</v>
      </c>
      <c r="B45" t="str">
        <f t="shared" ref="B45:B50" si="11">"U_ACT"</f>
        <v>U_ACT</v>
      </c>
      <c r="C45" t="s">
        <v>24</v>
      </c>
      <c r="D45" t="str">
        <f>"B+9TLU6Zzjq7PDHzYW7ad3hKUQdDpwzkhLcOhb4KXgQ="</f>
        <v>B+9TLU6Zzjq7PDHzYW7ad3hKUQdDpwzkhLcOhb4KXgQ=</v>
      </c>
      <c r="E45" t="str">
        <f>"N"</f>
        <v>N</v>
      </c>
      <c r="F45" t="str">
        <f>"N"</f>
        <v>N</v>
      </c>
      <c r="G45" t="str">
        <f t="shared" si="9"/>
        <v>Y</v>
      </c>
      <c r="H45" t="str">
        <f t="shared" si="10"/>
        <v>Y</v>
      </c>
    </row>
    <row r="46" spans="1:8">
      <c r="A46" t="str">
        <f>"acastillo"</f>
        <v>acastillo</v>
      </c>
      <c r="B46" t="str">
        <f t="shared" si="11"/>
        <v>U_ACT</v>
      </c>
      <c r="C46" t="s">
        <v>25</v>
      </c>
      <c r="D46" t="str">
        <f>"I4BYkGlJHK3IInNut0B4fxlHozTKwCGHSIjzScoeOxA="</f>
        <v>I4BYkGlJHK3IInNut0B4fxlHozTKwCGHSIjzScoeOxA=</v>
      </c>
      <c r="E46" t="str">
        <f>"N"</f>
        <v>N</v>
      </c>
      <c r="F46" t="str">
        <f>"N"</f>
        <v>N</v>
      </c>
      <c r="G46" t="str">
        <f t="shared" si="9"/>
        <v>Y</v>
      </c>
      <c r="H46" t="str">
        <f t="shared" si="10"/>
        <v>Y</v>
      </c>
    </row>
    <row r="47" spans="1:8">
      <c r="A47" t="str">
        <f>"avazquez"</f>
        <v>avazquez</v>
      </c>
      <c r="B47" t="str">
        <f t="shared" si="11"/>
        <v>U_ACT</v>
      </c>
      <c r="C47" t="str">
        <f>"Alberto Vazquez"</f>
        <v>Alberto Vazquez</v>
      </c>
      <c r="D47" t="str">
        <f>"2+frN1e2KtPO9TR7SEDZGfMTLTf6mM7JLuWWzNEbEOo="</f>
        <v>2+frN1e2KtPO9TR7SEDZGfMTLTf6mM7JLuWWzNEbEOo=</v>
      </c>
      <c r="E47" t="str">
        <f>"N"</f>
        <v>N</v>
      </c>
      <c r="F47" t="str">
        <f>"Y"</f>
        <v>Y</v>
      </c>
      <c r="G47" t="str">
        <f>"N"</f>
        <v>N</v>
      </c>
      <c r="H47" t="str">
        <f t="shared" si="10"/>
        <v>Y</v>
      </c>
    </row>
    <row r="48" spans="1:8">
      <c r="A48" t="str">
        <f>"grodriguez"</f>
        <v>grodriguez</v>
      </c>
      <c r="B48" t="str">
        <f t="shared" si="11"/>
        <v>U_ACT</v>
      </c>
      <c r="C48" t="str">
        <f>"Gamaliel Rodriguez"</f>
        <v>Gamaliel Rodriguez</v>
      </c>
      <c r="D48" t="str">
        <f>"QqfPoocJpzMly/2vhTuFYzBOa6ACK45KofSXyUxcNbg="</f>
        <v>QqfPoocJpzMly/2vhTuFYzBOa6ACK45KofSXyUxcNbg=</v>
      </c>
      <c r="E48" t="str">
        <f>"N"</f>
        <v>N</v>
      </c>
      <c r="F48" t="str">
        <f>"N"</f>
        <v>N</v>
      </c>
      <c r="G48" t="str">
        <f>"Y"</f>
        <v>Y</v>
      </c>
      <c r="H48" t="str">
        <f t="shared" si="10"/>
        <v>Y</v>
      </c>
    </row>
    <row r="49" spans="1:8">
      <c r="A49" t="str">
        <f>"hramos"</f>
        <v>hramos</v>
      </c>
      <c r="B49" t="str">
        <f t="shared" si="11"/>
        <v>U_ACT</v>
      </c>
      <c r="C49" t="str">
        <f>"Hector Ramos"</f>
        <v>Hector Ramos</v>
      </c>
      <c r="D49" t="str">
        <f>"noPasswd"</f>
        <v>noPasswd</v>
      </c>
      <c r="E49" t="str">
        <f>"N"</f>
        <v>N</v>
      </c>
      <c r="F49" t="str">
        <f>"Y"</f>
        <v>Y</v>
      </c>
      <c r="G49" t="str">
        <f>"N"</f>
        <v>N</v>
      </c>
      <c r="H49" t="str">
        <f>"N"</f>
        <v>N</v>
      </c>
    </row>
    <row r="50" spans="1:8">
      <c r="A50" t="str">
        <f>"jmgarcia"</f>
        <v>jmgarcia</v>
      </c>
      <c r="B50" t="str">
        <f t="shared" si="11"/>
        <v>U_ACT</v>
      </c>
      <c r="C50" t="str">
        <f>"Manuel Garcia"</f>
        <v>Manuel Garcia</v>
      </c>
      <c r="D50" t="str">
        <f>"qCt9wPwHc0K6t3r8daVJi1fRWWFTYdXAGoftqK7/868="</f>
        <v>qCt9wPwHc0K6t3r8daVJi1fRWWFTYdXAGoftqK7/868=</v>
      </c>
      <c r="E50" t="str">
        <f>"N"</f>
        <v>N</v>
      </c>
      <c r="F50" t="str">
        <f>"N"</f>
        <v>N</v>
      </c>
      <c r="G50" t="str">
        <f>"Y"</f>
        <v>Y</v>
      </c>
      <c r="H50" t="str">
        <f>"N"</f>
        <v>N</v>
      </c>
    </row>
    <row r="51" spans="1:8">
      <c r="A51" t="str">
        <f>"PZUNIGA"</f>
        <v>PZUNIGA</v>
      </c>
      <c r="B51" t="str">
        <f>"U_BLO"</f>
        <v>U_BLO</v>
      </c>
      <c r="C51" t="str">
        <f>"Pablo Zu?iga"</f>
        <v>Pablo Zu?iga</v>
      </c>
      <c r="D51" t="str">
        <f>"mfmVv9DDp5C9NPCc0hvdkoUwSN4X6GEdLKnSLG2YJMA="</f>
        <v>mfmVv9DDp5C9NPCc0hvdkoUwSN4X6GEdLKnSLG2YJMA=</v>
      </c>
      <c r="E51" t="str">
        <f>"N"</f>
        <v>N</v>
      </c>
      <c r="F51" t="str">
        <f>"N"</f>
        <v>N</v>
      </c>
      <c r="G51" t="str">
        <f>"N"</f>
        <v>N</v>
      </c>
      <c r="H51" t="str">
        <f t="shared" ref="H51:H61" si="12">"Y"</f>
        <v>Y</v>
      </c>
    </row>
    <row r="52" spans="1:8">
      <c r="A52" t="str">
        <f>"mvazquez"</f>
        <v>mvazquez</v>
      </c>
      <c r="B52" t="str">
        <f t="shared" ref="B52:B60" si="13">"U_ACT"</f>
        <v>U_ACT</v>
      </c>
      <c r="C52" t="s">
        <v>26</v>
      </c>
      <c r="D52" t="str">
        <f>"VKv80slIrhd0tTMBkGgf6OasvT7bblJZZm1eMMHo7vY="</f>
        <v>VKv80slIrhd0tTMBkGgf6OasvT7bblJZZm1eMMHo7vY=</v>
      </c>
      <c r="E52" t="str">
        <f>"Y"</f>
        <v>Y</v>
      </c>
      <c r="F52" t="str">
        <f>"Y"</f>
        <v>Y</v>
      </c>
      <c r="G52" t="str">
        <f>"Y"</f>
        <v>Y</v>
      </c>
      <c r="H52" t="str">
        <f t="shared" si="12"/>
        <v>Y</v>
      </c>
    </row>
    <row r="53" spans="1:8">
      <c r="A53" t="str">
        <f>"acerecero"</f>
        <v>acerecero</v>
      </c>
      <c r="B53" t="str">
        <f t="shared" si="13"/>
        <v>U_ACT</v>
      </c>
      <c r="C53" t="s">
        <v>27</v>
      </c>
      <c r="D53" t="str">
        <f>"MYI8Z5ooRT+hG/3lO3E1rrZ7qKld0U6ora4KaFQLkr8="</f>
        <v>MYI8Z5ooRT+hG/3lO3E1rrZ7qKld0U6ora4KaFQLkr8=</v>
      </c>
      <c r="E53" t="str">
        <f t="shared" ref="E53:E73" si="14">"N"</f>
        <v>N</v>
      </c>
      <c r="F53" t="str">
        <f>"Y"</f>
        <v>Y</v>
      </c>
      <c r="G53" t="str">
        <f>"N"</f>
        <v>N</v>
      </c>
      <c r="H53" t="str">
        <f t="shared" si="12"/>
        <v>Y</v>
      </c>
    </row>
    <row r="54" spans="1:8">
      <c r="A54" t="str">
        <f>"eimartinez"</f>
        <v>eimartinez</v>
      </c>
      <c r="B54" t="str">
        <f t="shared" si="13"/>
        <v>U_ACT</v>
      </c>
      <c r="C54" t="s">
        <v>28</v>
      </c>
      <c r="D54" t="str">
        <f>"2TYfoMszT5P13Ptk4NOT1eTKI7qVH3ysRub1/AZGM7Q="</f>
        <v>2TYfoMszT5P13Ptk4NOT1eTKI7qVH3ysRub1/AZGM7Q=</v>
      </c>
      <c r="E54" t="str">
        <f t="shared" si="14"/>
        <v>N</v>
      </c>
      <c r="F54" t="str">
        <f t="shared" ref="F54:F61" si="15">"N"</f>
        <v>N</v>
      </c>
      <c r="G54" t="str">
        <f t="shared" ref="G54:G60" si="16">"Y"</f>
        <v>Y</v>
      </c>
      <c r="H54" t="str">
        <f t="shared" si="12"/>
        <v>Y</v>
      </c>
    </row>
    <row r="55" spans="1:8">
      <c r="A55" t="str">
        <f>"jrenteria"</f>
        <v>jrenteria</v>
      </c>
      <c r="B55" t="str">
        <f t="shared" si="13"/>
        <v>U_ACT</v>
      </c>
      <c r="C55" t="str">
        <f>"Jose A. Renteria"</f>
        <v>Jose A. Renteria</v>
      </c>
      <c r="D55" t="str">
        <f>"aA0B8nVGnQJvcWLQaaHcYulIGhS4B7VaW9GuJmzT9qc="</f>
        <v>aA0B8nVGnQJvcWLQaaHcYulIGhS4B7VaW9GuJmzT9qc=</v>
      </c>
      <c r="E55" t="str">
        <f t="shared" si="14"/>
        <v>N</v>
      </c>
      <c r="F55" t="str">
        <f t="shared" si="15"/>
        <v>N</v>
      </c>
      <c r="G55" t="str">
        <f t="shared" si="16"/>
        <v>Y</v>
      </c>
      <c r="H55" t="str">
        <f t="shared" si="12"/>
        <v>Y</v>
      </c>
    </row>
    <row r="56" spans="1:8">
      <c r="A56" t="str">
        <f>"ldiaz"</f>
        <v>ldiaz</v>
      </c>
      <c r="B56" t="str">
        <f t="shared" si="13"/>
        <v>U_ACT</v>
      </c>
      <c r="C56" t="s">
        <v>29</v>
      </c>
      <c r="D56" t="str">
        <f>"H6+0Ek41dorcJl8BDSJgZXOURNpM13e3WjeOwereJ+E="</f>
        <v>H6+0Ek41dorcJl8BDSJgZXOURNpM13e3WjeOwereJ+E=</v>
      </c>
      <c r="E56" t="str">
        <f t="shared" si="14"/>
        <v>N</v>
      </c>
      <c r="F56" t="str">
        <f t="shared" si="15"/>
        <v>N</v>
      </c>
      <c r="G56" t="str">
        <f t="shared" si="16"/>
        <v>Y</v>
      </c>
      <c r="H56" t="str">
        <f t="shared" si="12"/>
        <v>Y</v>
      </c>
    </row>
    <row r="57" spans="1:8">
      <c r="A57" t="str">
        <f>"jbanda"</f>
        <v>jbanda</v>
      </c>
      <c r="B57" t="str">
        <f t="shared" si="13"/>
        <v>U_ACT</v>
      </c>
      <c r="C57" t="s">
        <v>30</v>
      </c>
      <c r="D57" t="str">
        <f>"yArPL5KM4EbtHOocrn2SZF/7sEVPWbeE9GIZD0/V724="</f>
        <v>yArPL5KM4EbtHOocrn2SZF/7sEVPWbeE9GIZD0/V724=</v>
      </c>
      <c r="E57" t="str">
        <f t="shared" si="14"/>
        <v>N</v>
      </c>
      <c r="F57" t="str">
        <f t="shared" si="15"/>
        <v>N</v>
      </c>
      <c r="G57" t="str">
        <f t="shared" si="16"/>
        <v>Y</v>
      </c>
      <c r="H57" t="str">
        <f t="shared" si="12"/>
        <v>Y</v>
      </c>
    </row>
    <row r="58" spans="1:8">
      <c r="A58" t="str">
        <f>"iguerra"</f>
        <v>iguerra</v>
      </c>
      <c r="B58" t="str">
        <f t="shared" si="13"/>
        <v>U_ACT</v>
      </c>
      <c r="C58" t="s">
        <v>31</v>
      </c>
      <c r="D58" t="str">
        <f>"+G0CGlgGIgN2y1mXyIRUaQJA4tpKFDU82pvB8Ki59pU="</f>
        <v>+G0CGlgGIgN2y1mXyIRUaQJA4tpKFDU82pvB8Ki59pU=</v>
      </c>
      <c r="E58" t="str">
        <f t="shared" si="14"/>
        <v>N</v>
      </c>
      <c r="F58" t="str">
        <f t="shared" si="15"/>
        <v>N</v>
      </c>
      <c r="G58" t="str">
        <f t="shared" si="16"/>
        <v>Y</v>
      </c>
      <c r="H58" t="str">
        <f t="shared" si="12"/>
        <v>Y</v>
      </c>
    </row>
    <row r="59" spans="1:8">
      <c r="A59" t="str">
        <f>"ehernandez"</f>
        <v>ehernandez</v>
      </c>
      <c r="B59" t="str">
        <f t="shared" si="13"/>
        <v>U_ACT</v>
      </c>
      <c r="C59" t="s">
        <v>32</v>
      </c>
      <c r="D59" t="str">
        <f>"hIrgPxF4LoSsBy93T0Dz2mqkInhTbPZZnW+81i61bn8="</f>
        <v>hIrgPxF4LoSsBy93T0Dz2mqkInhTbPZZnW+81i61bn8=</v>
      </c>
      <c r="E59" t="str">
        <f t="shared" si="14"/>
        <v>N</v>
      </c>
      <c r="F59" t="str">
        <f t="shared" si="15"/>
        <v>N</v>
      </c>
      <c r="G59" t="str">
        <f t="shared" si="16"/>
        <v>Y</v>
      </c>
      <c r="H59" t="str">
        <f t="shared" si="12"/>
        <v>Y</v>
      </c>
    </row>
    <row r="60" spans="1:8">
      <c r="A60" t="str">
        <f>"jarios"</f>
        <v>jarios</v>
      </c>
      <c r="B60" t="str">
        <f t="shared" si="13"/>
        <v>U_ACT</v>
      </c>
      <c r="C60" t="s">
        <v>33</v>
      </c>
      <c r="D60" t="str">
        <f>"Yx89HfSsNh01rOdyAfgN6V2imnEbj3H3y4z9apfApSo="</f>
        <v>Yx89HfSsNh01rOdyAfgN6V2imnEbj3H3y4z9apfApSo=</v>
      </c>
      <c r="E60" t="str">
        <f t="shared" si="14"/>
        <v>N</v>
      </c>
      <c r="F60" t="str">
        <f t="shared" si="15"/>
        <v>N</v>
      </c>
      <c r="G60" t="str">
        <f t="shared" si="16"/>
        <v>Y</v>
      </c>
      <c r="H60" t="str">
        <f t="shared" si="12"/>
        <v>Y</v>
      </c>
    </row>
    <row r="61" spans="1:8">
      <c r="A61" t="str">
        <f>"cguerrero"</f>
        <v>cguerrero</v>
      </c>
      <c r="B61" t="str">
        <f>"U_BLO"</f>
        <v>U_BLO</v>
      </c>
      <c r="C61" t="s">
        <v>34</v>
      </c>
      <c r="D61" t="str">
        <f>"zfK1Uzy4elLkeEshEQ0cHtyLhtoSWInHkHgRvmtsjC0="</f>
        <v>zfK1Uzy4elLkeEshEQ0cHtyLhtoSWInHkHgRvmtsjC0=</v>
      </c>
      <c r="E61" t="str">
        <f t="shared" si="14"/>
        <v>N</v>
      </c>
      <c r="F61" t="str">
        <f t="shared" si="15"/>
        <v>N</v>
      </c>
      <c r="G61" t="str">
        <f>"N"</f>
        <v>N</v>
      </c>
      <c r="H61" t="str">
        <f t="shared" si="12"/>
        <v>Y</v>
      </c>
    </row>
    <row r="62" spans="1:8">
      <c r="A62" t="str">
        <f>"cgallegos"</f>
        <v>cgallegos</v>
      </c>
      <c r="B62" t="str">
        <f t="shared" ref="B62:B76" si="17">"U_ACT"</f>
        <v>U_ACT</v>
      </c>
      <c r="C62" t="str">
        <f>"Carlos Gallegos"</f>
        <v>Carlos Gallegos</v>
      </c>
      <c r="D62" t="str">
        <f>"noPasswd"</f>
        <v>noPasswd</v>
      </c>
      <c r="E62" t="str">
        <f t="shared" si="14"/>
        <v>N</v>
      </c>
      <c r="F62" t="str">
        <f>"Y"</f>
        <v>Y</v>
      </c>
      <c r="G62" t="str">
        <f>"N"</f>
        <v>N</v>
      </c>
      <c r="H62" t="str">
        <f>"N"</f>
        <v>N</v>
      </c>
    </row>
    <row r="63" spans="1:8">
      <c r="A63" t="str">
        <f>"jgallo"</f>
        <v>jgallo</v>
      </c>
      <c r="B63" t="str">
        <f t="shared" si="17"/>
        <v>U_ACT</v>
      </c>
      <c r="C63" t="s">
        <v>35</v>
      </c>
      <c r="D63" t="str">
        <f>"c4e4KdZyS1c3b8gU/cyJE3d3xTkfvtR1ksCY87Jhod0="</f>
        <v>c4e4KdZyS1c3b8gU/cyJE3d3xTkfvtR1ksCY87Jhod0=</v>
      </c>
      <c r="E63" t="str">
        <f t="shared" si="14"/>
        <v>N</v>
      </c>
      <c r="F63" t="str">
        <f>"Y"</f>
        <v>Y</v>
      </c>
      <c r="G63" t="str">
        <f>"Y"</f>
        <v>Y</v>
      </c>
      <c r="H63" t="str">
        <f>"Y"</f>
        <v>Y</v>
      </c>
    </row>
    <row r="64" spans="1:8">
      <c r="A64" t="str">
        <f>"hvazquez"</f>
        <v>hvazquez</v>
      </c>
      <c r="B64" t="str">
        <f t="shared" si="17"/>
        <v>U_ACT</v>
      </c>
      <c r="C64" t="str">
        <f>"Hugo Vazquez"</f>
        <v>Hugo Vazquez</v>
      </c>
      <c r="D64" t="str">
        <f>"noPasswd"</f>
        <v>noPasswd</v>
      </c>
      <c r="E64" t="str">
        <f t="shared" si="14"/>
        <v>N</v>
      </c>
      <c r="F64" t="str">
        <f>"Y"</f>
        <v>Y</v>
      </c>
      <c r="G64" t="str">
        <f>"N"</f>
        <v>N</v>
      </c>
      <c r="H64" t="str">
        <f>"N"</f>
        <v>N</v>
      </c>
    </row>
    <row r="65" spans="1:8">
      <c r="A65" t="str">
        <f>"jmartinez"</f>
        <v>jmartinez</v>
      </c>
      <c r="B65" t="str">
        <f t="shared" si="17"/>
        <v>U_ACT</v>
      </c>
      <c r="C65" t="s">
        <v>36</v>
      </c>
      <c r="D65" t="str">
        <f>"QsI+W/YdZ1WKV7X+f+UFVamPeMi8gGyV5QDT0/hHqqw="</f>
        <v>QsI+W/YdZ1WKV7X+f+UFVamPeMi8gGyV5QDT0/hHqqw=</v>
      </c>
      <c r="E65" t="str">
        <f t="shared" si="14"/>
        <v>N</v>
      </c>
      <c r="F65" t="str">
        <f t="shared" ref="F65:F73" si="18">"N"</f>
        <v>N</v>
      </c>
      <c r="G65" t="str">
        <f t="shared" ref="G65:H72" si="19">"Y"</f>
        <v>Y</v>
      </c>
      <c r="H65" t="str">
        <f t="shared" si="19"/>
        <v>Y</v>
      </c>
    </row>
    <row r="66" spans="1:8">
      <c r="A66" t="str">
        <f>"csierra"</f>
        <v>csierra</v>
      </c>
      <c r="B66" t="str">
        <f t="shared" si="17"/>
        <v>U_ACT</v>
      </c>
      <c r="C66" t="s">
        <v>37</v>
      </c>
      <c r="D66" t="str">
        <f>"kKycNS70lPXO3DxB/y1Rgu4o5pHMKeuFj/w5zWQKj6Y="</f>
        <v>kKycNS70lPXO3DxB/y1Rgu4o5pHMKeuFj/w5zWQKj6Y=</v>
      </c>
      <c r="E66" t="str">
        <f t="shared" si="14"/>
        <v>N</v>
      </c>
      <c r="F66" t="str">
        <f t="shared" si="18"/>
        <v>N</v>
      </c>
      <c r="G66" t="str">
        <f t="shared" si="19"/>
        <v>Y</v>
      </c>
      <c r="H66" t="str">
        <f t="shared" si="19"/>
        <v>Y</v>
      </c>
    </row>
    <row r="67" spans="1:8">
      <c r="A67" t="str">
        <f>"jsaenz"</f>
        <v>jsaenz</v>
      </c>
      <c r="B67" t="str">
        <f t="shared" si="17"/>
        <v>U_ACT</v>
      </c>
      <c r="C67" t="s">
        <v>38</v>
      </c>
      <c r="D67" t="str">
        <f>"m2beqPtN3ZHwsZel5/2vTT3IlR+zsUyrkpXTdxxCp6k="</f>
        <v>m2beqPtN3ZHwsZel5/2vTT3IlR+zsUyrkpXTdxxCp6k=</v>
      </c>
      <c r="E67" t="str">
        <f t="shared" si="14"/>
        <v>N</v>
      </c>
      <c r="F67" t="str">
        <f t="shared" si="18"/>
        <v>N</v>
      </c>
      <c r="G67" t="str">
        <f t="shared" si="19"/>
        <v>Y</v>
      </c>
      <c r="H67" t="str">
        <f t="shared" si="19"/>
        <v>Y</v>
      </c>
    </row>
    <row r="68" spans="1:8">
      <c r="A68" t="str">
        <f>"carias"</f>
        <v>carias</v>
      </c>
      <c r="B68" t="str">
        <f t="shared" si="17"/>
        <v>U_ACT</v>
      </c>
      <c r="C68" t="s">
        <v>39</v>
      </c>
      <c r="D68" t="str">
        <f>"qcf9uFwUjCGZM2+KSM8nx/iwjfL5g+R2mVnrsq9ZCtI="</f>
        <v>qcf9uFwUjCGZM2+KSM8nx/iwjfL5g+R2mVnrsq9ZCtI=</v>
      </c>
      <c r="E68" t="str">
        <f t="shared" si="14"/>
        <v>N</v>
      </c>
      <c r="F68" t="str">
        <f t="shared" si="18"/>
        <v>N</v>
      </c>
      <c r="G68" t="str">
        <f t="shared" si="19"/>
        <v>Y</v>
      </c>
      <c r="H68" t="str">
        <f t="shared" si="19"/>
        <v>Y</v>
      </c>
    </row>
    <row r="69" spans="1:8">
      <c r="A69" t="str">
        <f>"osanchez"</f>
        <v>osanchez</v>
      </c>
      <c r="B69" t="str">
        <f t="shared" si="17"/>
        <v>U_ACT</v>
      </c>
      <c r="C69" t="s">
        <v>40</v>
      </c>
      <c r="D69" t="str">
        <f>"uF6LGpe7WSngts2FbeB9++ype0s+rRA5UCDdT1w3UNE="</f>
        <v>uF6LGpe7WSngts2FbeB9++ype0s+rRA5UCDdT1w3UNE=</v>
      </c>
      <c r="E69" t="str">
        <f t="shared" si="14"/>
        <v>N</v>
      </c>
      <c r="F69" t="str">
        <f t="shared" si="18"/>
        <v>N</v>
      </c>
      <c r="G69" t="str">
        <f t="shared" si="19"/>
        <v>Y</v>
      </c>
      <c r="H69" t="str">
        <f t="shared" si="19"/>
        <v>Y</v>
      </c>
    </row>
    <row r="70" spans="1:8">
      <c r="A70" t="str">
        <f>"cdeyta"</f>
        <v>cdeyta</v>
      </c>
      <c r="B70" t="str">
        <f t="shared" si="17"/>
        <v>U_ACT</v>
      </c>
      <c r="C70" t="s">
        <v>41</v>
      </c>
      <c r="D70" t="str">
        <f>"p6WXVyrdOh+z7YleqaPyWV9CBC2ShLOZq+GscRweh4Y="</f>
        <v>p6WXVyrdOh+z7YleqaPyWV9CBC2ShLOZq+GscRweh4Y=</v>
      </c>
      <c r="E70" t="str">
        <f t="shared" si="14"/>
        <v>N</v>
      </c>
      <c r="F70" t="str">
        <f t="shared" si="18"/>
        <v>N</v>
      </c>
      <c r="G70" t="str">
        <f t="shared" si="19"/>
        <v>Y</v>
      </c>
      <c r="H70" t="str">
        <f t="shared" si="19"/>
        <v>Y</v>
      </c>
    </row>
    <row r="71" spans="1:8">
      <c r="A71" t="str">
        <f>"frodriguez"</f>
        <v>frodriguez</v>
      </c>
      <c r="B71" t="str">
        <f t="shared" si="17"/>
        <v>U_ACT</v>
      </c>
      <c r="C71" t="s">
        <v>42</v>
      </c>
      <c r="D71" t="str">
        <f>"2Y1HMhE/Sm3ho3SKM/z+1OXWUFrN6RdKq7S+um0pIkQ="</f>
        <v>2Y1HMhE/Sm3ho3SKM/z+1OXWUFrN6RdKq7S+um0pIkQ=</v>
      </c>
      <c r="E71" t="str">
        <f t="shared" si="14"/>
        <v>N</v>
      </c>
      <c r="F71" t="str">
        <f t="shared" si="18"/>
        <v>N</v>
      </c>
      <c r="G71" t="str">
        <f t="shared" si="19"/>
        <v>Y</v>
      </c>
      <c r="H71" t="str">
        <f t="shared" si="19"/>
        <v>Y</v>
      </c>
    </row>
    <row r="72" spans="1:8">
      <c r="A72" t="str">
        <f>"jalozano"</f>
        <v>jalozano</v>
      </c>
      <c r="B72" t="str">
        <f t="shared" si="17"/>
        <v>U_ACT</v>
      </c>
      <c r="C72" t="s">
        <v>43</v>
      </c>
      <c r="D72" t="str">
        <f>"6jpegCljySMsUts9nUohyrwjT0hMUBprDdt8k2Ac4+s="</f>
        <v>6jpegCljySMsUts9nUohyrwjT0hMUBprDdt8k2Ac4+s=</v>
      </c>
      <c r="E72" t="str">
        <f t="shared" si="14"/>
        <v>N</v>
      </c>
      <c r="F72" t="str">
        <f t="shared" si="18"/>
        <v>N</v>
      </c>
      <c r="G72" t="str">
        <f t="shared" si="19"/>
        <v>Y</v>
      </c>
      <c r="H72" t="str">
        <f t="shared" si="19"/>
        <v>Y</v>
      </c>
    </row>
    <row r="73" spans="1:8">
      <c r="A73" t="str">
        <f>"mgarcia"</f>
        <v>mgarcia</v>
      </c>
      <c r="B73" t="str">
        <f t="shared" si="17"/>
        <v>U_ACT</v>
      </c>
      <c r="C73" t="s">
        <v>44</v>
      </c>
      <c r="D73" t="str">
        <f>"noPasswd"</f>
        <v>noPasswd</v>
      </c>
      <c r="E73" t="str">
        <f t="shared" si="14"/>
        <v>N</v>
      </c>
      <c r="F73" t="str">
        <f t="shared" si="18"/>
        <v>N</v>
      </c>
      <c r="G73" t="str">
        <f>"Y"</f>
        <v>Y</v>
      </c>
      <c r="H73" t="str">
        <f>"N"</f>
        <v>N</v>
      </c>
    </row>
    <row r="74" spans="1:8">
      <c r="A74" t="str">
        <f>"cfararoni"</f>
        <v>cfararoni</v>
      </c>
      <c r="B74" t="str">
        <f t="shared" si="17"/>
        <v>U_ACT</v>
      </c>
      <c r="C74" t="str">
        <f>"Cristina Fararoni"</f>
        <v>Cristina Fararoni</v>
      </c>
      <c r="D74" t="str">
        <f>"ff4kRGaMfQfVgHi/iJptVRrj2wyRNaqYnNfAmyOcpJY="</f>
        <v>ff4kRGaMfQfVgHi/iJptVRrj2wyRNaqYnNfAmyOcpJY=</v>
      </c>
      <c r="E74" t="str">
        <f>"Y"</f>
        <v>Y</v>
      </c>
      <c r="F74" t="str">
        <f>"Y"</f>
        <v>Y</v>
      </c>
      <c r="G74" t="str">
        <f>"Y"</f>
        <v>Y</v>
      </c>
      <c r="H74" t="str">
        <f>"Y"</f>
        <v>Y</v>
      </c>
    </row>
    <row r="75" spans="1:8">
      <c r="A75" t="str">
        <f>"gverlage"</f>
        <v>gverlage</v>
      </c>
      <c r="B75" t="str">
        <f t="shared" si="17"/>
        <v>U_ACT</v>
      </c>
      <c r="C75" t="str">
        <f>"Gabriel Verlage"</f>
        <v>Gabriel Verlage</v>
      </c>
      <c r="D75" t="str">
        <f>"+G0CGlgGIgN2y1mXyIRUaQJA4tpKFDU82pvB8Ki59pU="</f>
        <v>+G0CGlgGIgN2y1mXyIRUaQJA4tpKFDU82pvB8Ki59pU=</v>
      </c>
      <c r="E75" t="str">
        <f>"Y"</f>
        <v>Y</v>
      </c>
      <c r="F75" t="str">
        <f>"Y"</f>
        <v>Y</v>
      </c>
      <c r="G75" t="str">
        <f>"Y"</f>
        <v>Y</v>
      </c>
      <c r="H75" t="str">
        <f>"Y"</f>
        <v>Y</v>
      </c>
    </row>
    <row r="76" spans="1:8">
      <c r="A76" t="str">
        <f>"agonzalez"</f>
        <v>agonzalez</v>
      </c>
      <c r="B76" t="str">
        <f t="shared" si="17"/>
        <v>U_ACT</v>
      </c>
      <c r="C76" t="str">
        <f>"Gonzalez Adriana"</f>
        <v>Gonzalez Adriana</v>
      </c>
      <c r="D76" t="str">
        <f>"noPasswd"</f>
        <v>noPasswd</v>
      </c>
      <c r="E76" t="str">
        <f t="shared" ref="E76:F85" si="20">"N"</f>
        <v>N</v>
      </c>
      <c r="F76" t="str">
        <f t="shared" si="20"/>
        <v>N</v>
      </c>
      <c r="G76" t="str">
        <f>"Y"</f>
        <v>Y</v>
      </c>
      <c r="H76" t="str">
        <f>"N"</f>
        <v>N</v>
      </c>
    </row>
    <row r="77" spans="1:8">
      <c r="A77" t="str">
        <f>"arivera"</f>
        <v>arivera</v>
      </c>
      <c r="B77" t="str">
        <f>"U_BLO"</f>
        <v>U_BLO</v>
      </c>
      <c r="C77" t="s">
        <v>45</v>
      </c>
      <c r="D77" t="str">
        <f>"LUasjqap1gVw0eiMLQVU6uhUNTsqPOPzww3A5JLSgsw="</f>
        <v>LUasjqap1gVw0eiMLQVU6uhUNTsqPOPzww3A5JLSgsw=</v>
      </c>
      <c r="E77" t="str">
        <f t="shared" si="20"/>
        <v>N</v>
      </c>
      <c r="F77" t="str">
        <f t="shared" si="20"/>
        <v>N</v>
      </c>
      <c r="G77" t="str">
        <f>"N"</f>
        <v>N</v>
      </c>
      <c r="H77" t="str">
        <f>"Y"</f>
        <v>Y</v>
      </c>
    </row>
    <row r="78" spans="1:8">
      <c r="A78" t="str">
        <f>"fgonzalez"</f>
        <v>fgonzalez</v>
      </c>
      <c r="B78" t="str">
        <f>"U_ACT"</f>
        <v>U_ACT</v>
      </c>
      <c r="C78" t="s">
        <v>46</v>
      </c>
      <c r="D78" t="str">
        <f>"+G0CGlgGIgN2y1mXyIRUaQJA4tpKFDU82pvB8Ki59pU="</f>
        <v>+G0CGlgGIgN2y1mXyIRUaQJA4tpKFDU82pvB8Ki59pU=</v>
      </c>
      <c r="E78" t="str">
        <f t="shared" si="20"/>
        <v>N</v>
      </c>
      <c r="F78" t="str">
        <f t="shared" si="20"/>
        <v>N</v>
      </c>
      <c r="G78" t="str">
        <f>"Y"</f>
        <v>Y</v>
      </c>
      <c r="H78" t="str">
        <f>"Y"</f>
        <v>Y</v>
      </c>
    </row>
    <row r="79" spans="1:8">
      <c r="A79" t="str">
        <f>"demis.araguz"</f>
        <v>demis.araguz</v>
      </c>
      <c r="B79" t="str">
        <f>"U_ACT"</f>
        <v>U_ACT</v>
      </c>
      <c r="C79" t="s">
        <v>47</v>
      </c>
      <c r="D79" t="str">
        <f>"spbEbomnI90k8uBN4Gl4D1Gj72pA9KATGEABJEPtbEM="</f>
        <v>spbEbomnI90k8uBN4Gl4D1Gj72pA9KATGEABJEPtbEM=</v>
      </c>
      <c r="E79" t="str">
        <f t="shared" si="20"/>
        <v>N</v>
      </c>
      <c r="F79" t="str">
        <f t="shared" si="20"/>
        <v>N</v>
      </c>
      <c r="G79" t="str">
        <f>"Y"</f>
        <v>Y</v>
      </c>
      <c r="H79" t="str">
        <f>"Y"</f>
        <v>Y</v>
      </c>
    </row>
    <row r="80" spans="1:8">
      <c r="A80" t="str">
        <f>"AFGARCIA"</f>
        <v>AFGARCIA</v>
      </c>
      <c r="B80" t="str">
        <f>"U_BLO"</f>
        <v>U_BLO</v>
      </c>
      <c r="C80" t="s">
        <v>48</v>
      </c>
      <c r="D80" t="str">
        <f>"5cVm4kwLYSTjwjIFA6KtDG7MDJIehqCxR/r6099p5DU="</f>
        <v>5cVm4kwLYSTjwjIFA6KtDG7MDJIehqCxR/r6099p5DU=</v>
      </c>
      <c r="E80" t="str">
        <f t="shared" si="20"/>
        <v>N</v>
      </c>
      <c r="F80" t="str">
        <f t="shared" si="20"/>
        <v>N</v>
      </c>
      <c r="G80" t="str">
        <f>"N"</f>
        <v>N</v>
      </c>
      <c r="H80" t="str">
        <f>"Y"</f>
        <v>Y</v>
      </c>
    </row>
    <row r="81" spans="1:8">
      <c r="A81" t="str">
        <f>"cesar.castaneda"</f>
        <v>cesar.castaneda</v>
      </c>
      <c r="B81" t="str">
        <f t="shared" ref="B81:B103" si="21">"U_ACT"</f>
        <v>U_ACT</v>
      </c>
      <c r="C81" t="s">
        <v>49</v>
      </c>
      <c r="D81" t="str">
        <f>"+G0CGlgGIgN2y1mXyIRUaQJA4tpKFDU82pvB8Ki59pU="</f>
        <v>+G0CGlgGIgN2y1mXyIRUaQJA4tpKFDU82pvB8Ki59pU=</v>
      </c>
      <c r="E81" t="str">
        <f t="shared" si="20"/>
        <v>N</v>
      </c>
      <c r="F81" t="str">
        <f t="shared" si="20"/>
        <v>N</v>
      </c>
      <c r="G81" t="str">
        <f>"Y"</f>
        <v>Y</v>
      </c>
      <c r="H81" t="str">
        <f>"Y"</f>
        <v>Y</v>
      </c>
    </row>
    <row r="82" spans="1:8">
      <c r="A82" t="str">
        <f>"jescobedo"</f>
        <v>jescobedo</v>
      </c>
      <c r="B82" t="str">
        <f t="shared" si="21"/>
        <v>U_ACT</v>
      </c>
      <c r="C82" t="str">
        <f>"Juan Escobedo"</f>
        <v>Juan Escobedo</v>
      </c>
      <c r="D82" t="str">
        <f>"4TkjBlh7NAF4jFfX51/RVizBSMESjkF3cKW+voJx/DY="</f>
        <v>4TkjBlh7NAF4jFfX51/RVizBSMESjkF3cKW+voJx/DY=</v>
      </c>
      <c r="E82" t="str">
        <f t="shared" si="20"/>
        <v>N</v>
      </c>
      <c r="F82" t="str">
        <f t="shared" si="20"/>
        <v>N</v>
      </c>
      <c r="G82" t="str">
        <f>"Y"</f>
        <v>Y</v>
      </c>
      <c r="H82" t="str">
        <f>"N"</f>
        <v>N</v>
      </c>
    </row>
    <row r="83" spans="1:8">
      <c r="A83" t="str">
        <f>"lmanzano"</f>
        <v>lmanzano</v>
      </c>
      <c r="B83" t="str">
        <f t="shared" si="21"/>
        <v>U_ACT</v>
      </c>
      <c r="C83" t="str">
        <f>"Luis Manzano"</f>
        <v>Luis Manzano</v>
      </c>
      <c r="D83" t="str">
        <f>"+G0CGlgGIgN2y1mXyIRUaQJA4tpKFDU82pvB8Ki59pU="</f>
        <v>+G0CGlgGIgN2y1mXyIRUaQJA4tpKFDU82pvB8Ki59pU=</v>
      </c>
      <c r="E83" t="str">
        <f t="shared" si="20"/>
        <v>N</v>
      </c>
      <c r="F83" t="str">
        <f t="shared" si="20"/>
        <v>N</v>
      </c>
      <c r="G83" t="str">
        <f>"Y"</f>
        <v>Y</v>
      </c>
      <c r="H83" t="str">
        <f>"N"</f>
        <v>N</v>
      </c>
    </row>
    <row r="84" spans="1:8">
      <c r="A84" t="str">
        <f>"luis.requena"</f>
        <v>luis.requena</v>
      </c>
      <c r="B84" t="str">
        <f t="shared" si="21"/>
        <v>U_ACT</v>
      </c>
      <c r="C84" t="s">
        <v>50</v>
      </c>
      <c r="D84" t="str">
        <f>"+G0CGlgGIgN2y1mXyIRUaQJA4tpKFDU82pvB8Ki59pU="</f>
        <v>+G0CGlgGIgN2y1mXyIRUaQJA4tpKFDU82pvB8Ki59pU=</v>
      </c>
      <c r="E84" t="str">
        <f t="shared" si="20"/>
        <v>N</v>
      </c>
      <c r="F84" t="str">
        <f t="shared" si="20"/>
        <v>N</v>
      </c>
      <c r="G84" t="str">
        <f>"Y"</f>
        <v>Y</v>
      </c>
      <c r="H84" t="str">
        <f>"Y"</f>
        <v>Y</v>
      </c>
    </row>
    <row r="85" spans="1:8">
      <c r="A85" t="str">
        <f>"alfonso.gomez"</f>
        <v>alfonso.gomez</v>
      </c>
      <c r="B85" t="str">
        <f t="shared" si="21"/>
        <v>U_ACT</v>
      </c>
      <c r="C85" t="s">
        <v>51</v>
      </c>
      <c r="D85" t="str">
        <f>"noPasswd"</f>
        <v>noPasswd</v>
      </c>
      <c r="E85" t="str">
        <f t="shared" si="20"/>
        <v>N</v>
      </c>
      <c r="F85" t="str">
        <f t="shared" si="20"/>
        <v>N</v>
      </c>
      <c r="G85" t="str">
        <f>"Y"</f>
        <v>Y</v>
      </c>
      <c r="H85" t="str">
        <f>"N"</f>
        <v>N</v>
      </c>
    </row>
    <row r="86" spans="1:8">
      <c r="A86" t="str">
        <f>"josue.e.gonzalez"</f>
        <v>josue.e.gonzalez</v>
      </c>
      <c r="B86" t="str">
        <f t="shared" si="21"/>
        <v>U_ACT</v>
      </c>
      <c r="C86" t="s">
        <v>52</v>
      </c>
      <c r="D86" t="str">
        <f>"Qpn5Ceon84aW7fq1AU1f5hGPmWKBdtOjSJFplYPlo8g="</f>
        <v>Qpn5Ceon84aW7fq1AU1f5hGPmWKBdtOjSJFplYPlo8g=</v>
      </c>
      <c r="E86" t="str">
        <f>"N"</f>
        <v>N</v>
      </c>
      <c r="F86" t="str">
        <f>"Y"</f>
        <v>Y</v>
      </c>
      <c r="G86" t="str">
        <f>"N"</f>
        <v>N</v>
      </c>
      <c r="H86" t="str">
        <f t="shared" ref="H86:H93" si="22">"Y"</f>
        <v>Y</v>
      </c>
    </row>
    <row r="87" spans="1:8">
      <c r="A87" t="str">
        <f>"jorge.gomez"</f>
        <v>jorge.gomez</v>
      </c>
      <c r="B87" t="str">
        <f t="shared" si="21"/>
        <v>U_ACT</v>
      </c>
      <c r="C87" t="str">
        <f>"Jorge Gomez Castillo"</f>
        <v>Jorge Gomez Castillo</v>
      </c>
      <c r="D87" t="str">
        <f>"+G0CGlgGIgN2y1mXyIRUaQJA4tpKFDU82pvB8Ki59pU="</f>
        <v>+G0CGlgGIgN2y1mXyIRUaQJA4tpKFDU82pvB8Ki59pU=</v>
      </c>
      <c r="E87" t="str">
        <f>"N"</f>
        <v>N</v>
      </c>
      <c r="F87" t="str">
        <f>"N"</f>
        <v>N</v>
      </c>
      <c r="G87" t="str">
        <f>"N"</f>
        <v>N</v>
      </c>
      <c r="H87" t="str">
        <f t="shared" si="22"/>
        <v>Y</v>
      </c>
    </row>
    <row r="88" spans="1:8">
      <c r="A88" t="str">
        <f>"jmaldonado"</f>
        <v>jmaldonado</v>
      </c>
      <c r="B88" t="str">
        <f t="shared" si="21"/>
        <v>U_ACT</v>
      </c>
      <c r="C88" t="str">
        <f>"Juan Jesus Maldonado"</f>
        <v>Juan Jesus Maldonado</v>
      </c>
      <c r="D88" t="str">
        <f>"+G0CGlgGIgN2y1mXyIRUaQJA4tpKFDU82pvB8Ki59pU="</f>
        <v>+G0CGlgGIgN2y1mXyIRUaQJA4tpKFDU82pvB8Ki59pU=</v>
      </c>
      <c r="E88" t="str">
        <f>"Y"</f>
        <v>Y</v>
      </c>
      <c r="F88" t="str">
        <f>"Y"</f>
        <v>Y</v>
      </c>
      <c r="G88" t="str">
        <f>"N"</f>
        <v>N</v>
      </c>
      <c r="H88" t="str">
        <f t="shared" si="22"/>
        <v>Y</v>
      </c>
    </row>
    <row r="89" spans="1:8">
      <c r="A89" t="str">
        <f>"grobles"</f>
        <v>grobles</v>
      </c>
      <c r="B89" t="str">
        <f t="shared" si="21"/>
        <v>U_ACT</v>
      </c>
      <c r="C89" t="str">
        <f>"Maria Guadalupe Robles"</f>
        <v>Maria Guadalupe Robles</v>
      </c>
      <c r="D89" t="str">
        <f>"CW5kPf3detlIN5It2BcjLPYbPEFaumQyHXCe98A5kyM="</f>
        <v>CW5kPf3detlIN5It2BcjLPYbPEFaumQyHXCe98A5kyM=</v>
      </c>
      <c r="E89" t="str">
        <f>"Y"</f>
        <v>Y</v>
      </c>
      <c r="F89" t="str">
        <f>"Y"</f>
        <v>Y</v>
      </c>
      <c r="G89" t="str">
        <f>"Y"</f>
        <v>Y</v>
      </c>
      <c r="H89" t="str">
        <f t="shared" si="22"/>
        <v>Y</v>
      </c>
    </row>
    <row r="90" spans="1:8">
      <c r="A90" t="str">
        <f>"jcastaneda"</f>
        <v>jcastaneda</v>
      </c>
      <c r="B90" t="str">
        <f t="shared" si="21"/>
        <v>U_ACT</v>
      </c>
      <c r="C90" t="str">
        <f>"Eleazar Castaneda"</f>
        <v>Eleazar Castaneda</v>
      </c>
      <c r="D90" t="str">
        <f>"U/7xPA0d/E90tJn3PsTwt5OeSjjgv86nq5rwn0/wVRQ="</f>
        <v>U/7xPA0d/E90tJn3PsTwt5OeSjjgv86nq5rwn0/wVRQ=</v>
      </c>
      <c r="E90" t="str">
        <f t="shared" ref="E90:E96" si="23">"N"</f>
        <v>N</v>
      </c>
      <c r="F90" t="str">
        <f>"Y"</f>
        <v>Y</v>
      </c>
      <c r="G90" t="str">
        <f>"Y"</f>
        <v>Y</v>
      </c>
      <c r="H90" t="str">
        <f t="shared" si="22"/>
        <v>Y</v>
      </c>
    </row>
    <row r="91" spans="1:8">
      <c r="A91" t="str">
        <f>"gramirez"</f>
        <v>gramirez</v>
      </c>
      <c r="B91" t="str">
        <f t="shared" si="21"/>
        <v>U_ACT</v>
      </c>
      <c r="C91" t="str">
        <f>"Guillermo Ramirez"</f>
        <v>Guillermo Ramirez</v>
      </c>
      <c r="D91" t="str">
        <f>"57gS6376Kse0qrrGeQ2Umn4iImdtTjST2s65E5+8RtE="</f>
        <v>57gS6376Kse0qrrGeQ2Umn4iImdtTjST2s65E5+8RtE=</v>
      </c>
      <c r="E91" t="str">
        <f t="shared" si="23"/>
        <v>N</v>
      </c>
      <c r="F91" t="str">
        <f>"Y"</f>
        <v>Y</v>
      </c>
      <c r="G91" t="str">
        <f>"N"</f>
        <v>N</v>
      </c>
      <c r="H91" t="str">
        <f t="shared" si="22"/>
        <v>Y</v>
      </c>
    </row>
    <row r="92" spans="1:8">
      <c r="A92" t="str">
        <f>"ecerda"</f>
        <v>ecerda</v>
      </c>
      <c r="B92" t="str">
        <f t="shared" si="21"/>
        <v>U_ACT</v>
      </c>
      <c r="C92" t="str">
        <f>"Efren Cerda"</f>
        <v>Efren Cerda</v>
      </c>
      <c r="D92" t="str">
        <f>"SEwQYwfo01xJUSu6e4n/TtDzsnxyE9AGTzIM3WzC4Hk="</f>
        <v>SEwQYwfo01xJUSu6e4n/TtDzsnxyE9AGTzIM3WzC4Hk=</v>
      </c>
      <c r="E92" t="str">
        <f t="shared" si="23"/>
        <v>N</v>
      </c>
      <c r="F92" t="str">
        <f>"Y"</f>
        <v>Y</v>
      </c>
      <c r="G92" t="str">
        <f>"N"</f>
        <v>N</v>
      </c>
      <c r="H92" t="str">
        <f t="shared" si="22"/>
        <v>Y</v>
      </c>
    </row>
    <row r="93" spans="1:8">
      <c r="A93" t="str">
        <f>"vvazquez"</f>
        <v>vvazquez</v>
      </c>
      <c r="B93" t="str">
        <f t="shared" si="21"/>
        <v>U_ACT</v>
      </c>
      <c r="C93" t="str">
        <f>"Vicente Vazquez"</f>
        <v>Vicente Vazquez</v>
      </c>
      <c r="D93" t="str">
        <f>"VA0Jg/yzY2w7mx/rtiXtcePyWeo14l5kZrfdgys/xdc="</f>
        <v>VA0Jg/yzY2w7mx/rtiXtcePyWeo14l5kZrfdgys/xdc=</v>
      </c>
      <c r="E93" t="str">
        <f t="shared" si="23"/>
        <v>N</v>
      </c>
      <c r="F93" t="str">
        <f>"Y"</f>
        <v>Y</v>
      </c>
      <c r="G93" t="str">
        <f>"Y"</f>
        <v>Y</v>
      </c>
      <c r="H93" t="str">
        <f t="shared" si="22"/>
        <v>Y</v>
      </c>
    </row>
    <row r="94" spans="1:8">
      <c r="A94" t="str">
        <f>"g_pardo"</f>
        <v>g_pardo</v>
      </c>
      <c r="B94" t="str">
        <f t="shared" si="21"/>
        <v>U_ACT</v>
      </c>
      <c r="C94" t="str">
        <f>"Guadalupe Pardo"</f>
        <v>Guadalupe Pardo</v>
      </c>
      <c r="D94" t="str">
        <f>"LLavlstD5JdISTAg+LimHw4KuG5xNc/LSPZcMOleRdo="</f>
        <v>LLavlstD5JdISTAg+LimHw4KuG5xNc/LSPZcMOleRdo=</v>
      </c>
      <c r="E94" t="str">
        <f t="shared" si="23"/>
        <v>N</v>
      </c>
      <c r="F94" t="str">
        <f>"N"</f>
        <v>N</v>
      </c>
      <c r="G94" t="str">
        <f>"Y"</f>
        <v>Y</v>
      </c>
      <c r="H94" t="str">
        <f>"N"</f>
        <v>N</v>
      </c>
    </row>
    <row r="95" spans="1:8">
      <c r="A95" t="str">
        <f>"eromero"</f>
        <v>eromero</v>
      </c>
      <c r="B95" t="str">
        <f t="shared" si="21"/>
        <v>U_ACT</v>
      </c>
      <c r="C95" t="str">
        <f>"Elias Romero"</f>
        <v>Elias Romero</v>
      </c>
      <c r="D95" t="str">
        <f>"sWA7nrs2z4HiDboEEtToljkqiXW5T2Co34WZf5R3cNE="</f>
        <v>sWA7nrs2z4HiDboEEtToljkqiXW5T2Co34WZf5R3cNE=</v>
      </c>
      <c r="E95" t="str">
        <f t="shared" si="23"/>
        <v>N</v>
      </c>
      <c r="F95" t="str">
        <f t="shared" ref="F95:F103" si="24">"Y"</f>
        <v>Y</v>
      </c>
      <c r="G95" t="str">
        <f>"N"</f>
        <v>N</v>
      </c>
      <c r="H95" t="str">
        <f>"N"</f>
        <v>N</v>
      </c>
    </row>
    <row r="96" spans="1:8">
      <c r="A96" t="str">
        <f>"lecortez"</f>
        <v>lecortez</v>
      </c>
      <c r="B96" t="str">
        <f t="shared" si="21"/>
        <v>U_ACT</v>
      </c>
      <c r="C96" t="str">
        <f>"Luis Enrique Cortez"</f>
        <v>Luis Enrique Cortez</v>
      </c>
      <c r="D96" t="str">
        <f>"HlFS7zGK8V3TP7ckATE2AwIFoVuQWY43PfAAE/dQarU="</f>
        <v>HlFS7zGK8V3TP7ckATE2AwIFoVuQWY43PfAAE/dQarU=</v>
      </c>
      <c r="E96" t="str">
        <f t="shared" si="23"/>
        <v>N</v>
      </c>
      <c r="F96" t="str">
        <f t="shared" si="24"/>
        <v>Y</v>
      </c>
      <c r="G96" t="str">
        <f>"Y"</f>
        <v>Y</v>
      </c>
      <c r="H96" t="str">
        <f>"Y"</f>
        <v>Y</v>
      </c>
    </row>
    <row r="97" spans="1:8">
      <c r="A97" t="str">
        <f>"lariceaga"</f>
        <v>lariceaga</v>
      </c>
      <c r="B97" t="str">
        <f t="shared" si="21"/>
        <v>U_ACT</v>
      </c>
      <c r="C97" t="str">
        <f>"Luis Ariceaga"</f>
        <v>Luis Ariceaga</v>
      </c>
      <c r="D97" t="str">
        <f>"HIvwlZA3SwRGCO1J8bfpN/FB3ASNwilaFjTe5Npxz1g="</f>
        <v>HIvwlZA3SwRGCO1J8bfpN/FB3ASNwilaFjTe5Npxz1g=</v>
      </c>
      <c r="E97" t="str">
        <f>"Y"</f>
        <v>Y</v>
      </c>
      <c r="F97" t="str">
        <f t="shared" si="24"/>
        <v>Y</v>
      </c>
      <c r="G97" t="str">
        <f>"Y"</f>
        <v>Y</v>
      </c>
      <c r="H97" t="str">
        <f>"Y"</f>
        <v>Y</v>
      </c>
    </row>
    <row r="98" spans="1:8">
      <c r="A98" t="str">
        <f>"gbejar"</f>
        <v>gbejar</v>
      </c>
      <c r="B98" t="str">
        <f t="shared" si="21"/>
        <v>U_ACT</v>
      </c>
      <c r="C98" t="str">
        <f>"Luis Bejar"</f>
        <v>Luis Bejar</v>
      </c>
      <c r="D98" t="str">
        <f>"WxND01tT02JcWQQwMlMQXno4nIPgyRa29Uu3MYRWjBk="</f>
        <v>WxND01tT02JcWQQwMlMQXno4nIPgyRa29Uu3MYRWjBk=</v>
      </c>
      <c r="E98" t="str">
        <f t="shared" ref="E98:E104" si="25">"N"</f>
        <v>N</v>
      </c>
      <c r="F98" t="str">
        <f t="shared" si="24"/>
        <v>Y</v>
      </c>
      <c r="G98" t="str">
        <f t="shared" ref="G98:H100" si="26">"N"</f>
        <v>N</v>
      </c>
      <c r="H98" t="str">
        <f t="shared" si="26"/>
        <v>N</v>
      </c>
    </row>
    <row r="99" spans="1:8">
      <c r="A99" t="str">
        <f>"mcampos"</f>
        <v>mcampos</v>
      </c>
      <c r="B99" t="str">
        <f t="shared" si="21"/>
        <v>U_ACT</v>
      </c>
      <c r="C99" t="str">
        <f>"Manuel Campos"</f>
        <v>Manuel Campos</v>
      </c>
      <c r="D99" t="str">
        <f>"WxND01tT02JcWQQwMlMQXno4nIPgyRa29Uu3MYRWjBk="</f>
        <v>WxND01tT02JcWQQwMlMQXno4nIPgyRa29Uu3MYRWjBk=</v>
      </c>
      <c r="E99" t="str">
        <f t="shared" si="25"/>
        <v>N</v>
      </c>
      <c r="F99" t="str">
        <f t="shared" si="24"/>
        <v>Y</v>
      </c>
      <c r="G99" t="str">
        <f t="shared" si="26"/>
        <v>N</v>
      </c>
      <c r="H99" t="str">
        <f t="shared" si="26"/>
        <v>N</v>
      </c>
    </row>
    <row r="100" spans="1:8">
      <c r="A100" t="str">
        <f>"jtongo"</f>
        <v>jtongo</v>
      </c>
      <c r="B100" t="str">
        <f t="shared" si="21"/>
        <v>U_ACT</v>
      </c>
      <c r="C100" t="str">
        <f>"Alfredo Tongo"</f>
        <v>Alfredo Tongo</v>
      </c>
      <c r="D100" t="str">
        <f>"DLNQHjTl2Bzuk5XMFfksuaZEgvFx3KiZ3zs+rL3MyS0="</f>
        <v>DLNQHjTl2Bzuk5XMFfksuaZEgvFx3KiZ3zs+rL3MyS0=</v>
      </c>
      <c r="E100" t="str">
        <f t="shared" si="25"/>
        <v>N</v>
      </c>
      <c r="F100" t="str">
        <f t="shared" si="24"/>
        <v>Y</v>
      </c>
      <c r="G100" t="str">
        <f t="shared" si="26"/>
        <v>N</v>
      </c>
      <c r="H100" t="str">
        <f t="shared" si="26"/>
        <v>N</v>
      </c>
    </row>
    <row r="101" spans="1:8">
      <c r="A101" t="str">
        <f>"gmartinez"</f>
        <v>gmartinez</v>
      </c>
      <c r="B101" t="str">
        <f t="shared" si="21"/>
        <v>U_ACT</v>
      </c>
      <c r="C101" t="str">
        <f>"Gerardo Martinez"</f>
        <v>Gerardo Martinez</v>
      </c>
      <c r="D101" t="str">
        <f>"VGnE+1e+G6MhRFMsgKeayHVtrSTBMQgzlFo0okRjQ7g="</f>
        <v>VGnE+1e+G6MhRFMsgKeayHVtrSTBMQgzlFo0okRjQ7g=</v>
      </c>
      <c r="E101" t="str">
        <f t="shared" si="25"/>
        <v>N</v>
      </c>
      <c r="F101" t="str">
        <f t="shared" si="24"/>
        <v>Y</v>
      </c>
      <c r="G101" t="str">
        <f>"N"</f>
        <v>N</v>
      </c>
      <c r="H101" t="str">
        <f>"Y"</f>
        <v>Y</v>
      </c>
    </row>
    <row r="102" spans="1:8">
      <c r="A102" t="str">
        <f>"jhernandez"</f>
        <v>jhernandez</v>
      </c>
      <c r="B102" t="str">
        <f t="shared" si="21"/>
        <v>U_ACT</v>
      </c>
      <c r="C102" t="str">
        <f>"Juan Carlos Hernandez"</f>
        <v>Juan Carlos Hernandez</v>
      </c>
      <c r="D102" t="str">
        <f>"WxND01tT02JcWQQwMlMQXno4nIPgyRa29Uu3MYRWjBk="</f>
        <v>WxND01tT02JcWQQwMlMQXno4nIPgyRa29Uu3MYRWjBk=</v>
      </c>
      <c r="E102" t="str">
        <f t="shared" si="25"/>
        <v>N</v>
      </c>
      <c r="F102" t="str">
        <f t="shared" si="24"/>
        <v>Y</v>
      </c>
      <c r="G102" t="str">
        <f>"N"</f>
        <v>N</v>
      </c>
      <c r="H102" t="str">
        <f>"N"</f>
        <v>N</v>
      </c>
    </row>
    <row r="103" spans="1:8">
      <c r="A103" t="str">
        <f>"jnieto"</f>
        <v>jnieto</v>
      </c>
      <c r="B103" t="str">
        <f t="shared" si="21"/>
        <v>U_ACT</v>
      </c>
      <c r="C103" t="str">
        <f>"Joel Nieto"</f>
        <v>Joel Nieto</v>
      </c>
      <c r="D103" t="str">
        <f>"cxmZsN/+Na61GUslyaTGoSNu17CahRIc452o2taQ3+U="</f>
        <v>cxmZsN/+Na61GUslyaTGoSNu17CahRIc452o2taQ3+U=</v>
      </c>
      <c r="E103" t="str">
        <f t="shared" si="25"/>
        <v>N</v>
      </c>
      <c r="F103" t="str">
        <f t="shared" si="24"/>
        <v>Y</v>
      </c>
      <c r="G103" t="str">
        <f>"N"</f>
        <v>N</v>
      </c>
      <c r="H103" t="str">
        <f>"Y"</f>
        <v>Y</v>
      </c>
    </row>
    <row r="104" spans="1:8">
      <c r="A104" t="str">
        <f>"aroiz"</f>
        <v>aroiz</v>
      </c>
      <c r="B104" t="str">
        <f>"U_BLO"</f>
        <v>U_BLO</v>
      </c>
      <c r="C104" t="str">
        <f>"Ana Lilia Roiz"</f>
        <v>Ana Lilia Roiz</v>
      </c>
      <c r="D104" t="str">
        <f>"WxND01tT02JcWQQwMlMQXno4nIPgyRa29Uu3MYRWjBk="</f>
        <v>WxND01tT02JcWQQwMlMQXno4nIPgyRa29Uu3MYRWjBk=</v>
      </c>
      <c r="E104" t="str">
        <f t="shared" si="25"/>
        <v>N</v>
      </c>
      <c r="F104" t="str">
        <f>"N"</f>
        <v>N</v>
      </c>
      <c r="G104" t="str">
        <f>"N"</f>
        <v>N</v>
      </c>
      <c r="H104" t="str">
        <f>"N"</f>
        <v>N</v>
      </c>
    </row>
    <row r="105" spans="1:8">
      <c r="A105" t="str">
        <f>"ngonzalez"</f>
        <v>ngonzalez</v>
      </c>
      <c r="B105" t="str">
        <f t="shared" ref="B105:B135" si="27">"U_ACT"</f>
        <v>U_ACT</v>
      </c>
      <c r="C105" t="str">
        <f>"Norberto Gonzalez"</f>
        <v>Norberto Gonzalez</v>
      </c>
      <c r="D105" t="str">
        <f>"aolYwGW7lQVPNPcxVGsPTNeANYRQXACBV/18+sw6RP4="</f>
        <v>aolYwGW7lQVPNPcxVGsPTNeANYRQXACBV/18+sw6RP4=</v>
      </c>
      <c r="E105" t="str">
        <f>"Y"</f>
        <v>Y</v>
      </c>
      <c r="F105" t="str">
        <f>"Y"</f>
        <v>Y</v>
      </c>
      <c r="G105" t="str">
        <f>"Y"</f>
        <v>Y</v>
      </c>
      <c r="H105" t="str">
        <f>"Y"</f>
        <v>Y</v>
      </c>
    </row>
    <row r="106" spans="1:8">
      <c r="A106" t="str">
        <f>"jcontreras"</f>
        <v>jcontreras</v>
      </c>
      <c r="B106" t="str">
        <f t="shared" si="27"/>
        <v>U_ACT</v>
      </c>
      <c r="C106" t="str">
        <f>"Jesus Contreras"</f>
        <v>Jesus Contreras</v>
      </c>
      <c r="D106" t="str">
        <f>"C9t6pEJ7YiSQ0R2tvfvmOQ2fMaq/qn9IDKgJ1zQb0RE="</f>
        <v>C9t6pEJ7YiSQ0R2tvfvmOQ2fMaq/qn9IDKgJ1zQb0RE=</v>
      </c>
      <c r="E106" t="str">
        <f t="shared" ref="E106:F116" si="28">"N"</f>
        <v>N</v>
      </c>
      <c r="F106" t="str">
        <f t="shared" si="28"/>
        <v>N</v>
      </c>
      <c r="G106" t="str">
        <f t="shared" ref="G106:H116" si="29">"Y"</f>
        <v>Y</v>
      </c>
      <c r="H106" t="str">
        <f t="shared" si="29"/>
        <v>Y</v>
      </c>
    </row>
    <row r="107" spans="1:8">
      <c r="A107" t="str">
        <f>"jlmendoza"</f>
        <v>jlmendoza</v>
      </c>
      <c r="B107" t="str">
        <f t="shared" si="27"/>
        <v>U_ACT</v>
      </c>
      <c r="C107" t="str">
        <f>"Jose Luis Mendoza"</f>
        <v>Jose Luis Mendoza</v>
      </c>
      <c r="D107" t="str">
        <f>"vUdEnlrU1Ai5jktR3mkxgQxbU3AuYjh/A9DIkW4gJ2c="</f>
        <v>vUdEnlrU1Ai5jktR3mkxgQxbU3AuYjh/A9DIkW4gJ2c=</v>
      </c>
      <c r="E107" t="str">
        <f t="shared" si="28"/>
        <v>N</v>
      </c>
      <c r="F107" t="str">
        <f t="shared" si="28"/>
        <v>N</v>
      </c>
      <c r="G107" t="str">
        <f t="shared" si="29"/>
        <v>Y</v>
      </c>
      <c r="H107" t="str">
        <f t="shared" si="29"/>
        <v>Y</v>
      </c>
    </row>
    <row r="108" spans="1:8">
      <c r="A108" t="str">
        <f>"fcoramos"</f>
        <v>fcoramos</v>
      </c>
      <c r="B108" t="str">
        <f t="shared" si="27"/>
        <v>U_ACT</v>
      </c>
      <c r="C108" t="str">
        <f>"Francisco Ramos"</f>
        <v>Francisco Ramos</v>
      </c>
      <c r="D108" t="str">
        <f>"EWz77p8qnpribZUGzgnbMUhU8iyV3F0pnjutTZK9xlM="</f>
        <v>EWz77p8qnpribZUGzgnbMUhU8iyV3F0pnjutTZK9xlM=</v>
      </c>
      <c r="E108" t="str">
        <f t="shared" si="28"/>
        <v>N</v>
      </c>
      <c r="F108" t="str">
        <f t="shared" si="28"/>
        <v>N</v>
      </c>
      <c r="G108" t="str">
        <f t="shared" si="29"/>
        <v>Y</v>
      </c>
      <c r="H108" t="str">
        <f t="shared" si="29"/>
        <v>Y</v>
      </c>
    </row>
    <row r="109" spans="1:8">
      <c r="A109" t="str">
        <f>"jatrejo"</f>
        <v>jatrejo</v>
      </c>
      <c r="B109" t="str">
        <f t="shared" si="27"/>
        <v>U_ACT</v>
      </c>
      <c r="C109" t="str">
        <f>"Juan Antonio Trejo"</f>
        <v>Juan Antonio Trejo</v>
      </c>
      <c r="D109" t="str">
        <f>"+G0CGlgGIgN2y1mXyIRUaQJA4tpKFDU82pvB8Ki59pU="</f>
        <v>+G0CGlgGIgN2y1mXyIRUaQJA4tpKFDU82pvB8Ki59pU=</v>
      </c>
      <c r="E109" t="str">
        <f t="shared" si="28"/>
        <v>N</v>
      </c>
      <c r="F109" t="str">
        <f t="shared" si="28"/>
        <v>N</v>
      </c>
      <c r="G109" t="str">
        <f t="shared" si="29"/>
        <v>Y</v>
      </c>
      <c r="H109" t="str">
        <f t="shared" si="29"/>
        <v>Y</v>
      </c>
    </row>
    <row r="110" spans="1:8">
      <c r="A110" t="str">
        <f>"otorres"</f>
        <v>otorres</v>
      </c>
      <c r="B110" t="str">
        <f t="shared" si="27"/>
        <v>U_ACT</v>
      </c>
      <c r="C110" t="str">
        <f>"Oscar Torres"</f>
        <v>Oscar Torres</v>
      </c>
      <c r="D110" t="str">
        <f>"FdbwDyqTkhs0mXdGg2rKs6PAXQOil5F2byNr9OQVWn0="</f>
        <v>FdbwDyqTkhs0mXdGg2rKs6PAXQOil5F2byNr9OQVWn0=</v>
      </c>
      <c r="E110" t="str">
        <f t="shared" si="28"/>
        <v>N</v>
      </c>
      <c r="F110" t="str">
        <f t="shared" si="28"/>
        <v>N</v>
      </c>
      <c r="G110" t="str">
        <f t="shared" si="29"/>
        <v>Y</v>
      </c>
      <c r="H110" t="str">
        <f t="shared" si="29"/>
        <v>Y</v>
      </c>
    </row>
    <row r="111" spans="1:8">
      <c r="A111" t="str">
        <f>"jcrodriguez"</f>
        <v>jcrodriguez</v>
      </c>
      <c r="B111" t="str">
        <f t="shared" si="27"/>
        <v>U_ACT</v>
      </c>
      <c r="C111" t="str">
        <f>"Jose Rodriguez"</f>
        <v>Jose Rodriguez</v>
      </c>
      <c r="D111" t="str">
        <f>"+G0CGlgGIgN2y1mXyIRUaQJA4tpKFDU82pvB8Ki59pU="</f>
        <v>+G0CGlgGIgN2y1mXyIRUaQJA4tpKFDU82pvB8Ki59pU=</v>
      </c>
      <c r="E111" t="str">
        <f t="shared" si="28"/>
        <v>N</v>
      </c>
      <c r="F111" t="str">
        <f t="shared" si="28"/>
        <v>N</v>
      </c>
      <c r="G111" t="str">
        <f t="shared" si="29"/>
        <v>Y</v>
      </c>
      <c r="H111" t="str">
        <f t="shared" si="29"/>
        <v>Y</v>
      </c>
    </row>
    <row r="112" spans="1:8">
      <c r="A112" t="str">
        <f>"cgonzalez"</f>
        <v>cgonzalez</v>
      </c>
      <c r="B112" t="str">
        <f t="shared" si="27"/>
        <v>U_ACT</v>
      </c>
      <c r="C112" t="str">
        <f>"Cristobal Gonzalez"</f>
        <v>Cristobal Gonzalez</v>
      </c>
      <c r="D112" t="str">
        <f>"Ep2hIU7t3L3fYR3Jj/kxJQH4n8Hby3APu2P+XV57Vho="</f>
        <v>Ep2hIU7t3L3fYR3Jj/kxJQH4n8Hby3APu2P+XV57Vho=</v>
      </c>
      <c r="E112" t="str">
        <f t="shared" si="28"/>
        <v>N</v>
      </c>
      <c r="F112" t="str">
        <f t="shared" si="28"/>
        <v>N</v>
      </c>
      <c r="G112" t="str">
        <f t="shared" si="29"/>
        <v>Y</v>
      </c>
      <c r="H112" t="str">
        <f t="shared" si="29"/>
        <v>Y</v>
      </c>
    </row>
    <row r="113" spans="1:8">
      <c r="A113" t="str">
        <f>"dcazares"</f>
        <v>dcazares</v>
      </c>
      <c r="B113" t="str">
        <f t="shared" si="27"/>
        <v>U_ACT</v>
      </c>
      <c r="C113" t="str">
        <f>"Daniel Cazares"</f>
        <v>Daniel Cazares</v>
      </c>
      <c r="D113" t="str">
        <f>"oJShTkcZadb4DOaRM1Hr/r4KXRR9ONSgeq/PQGWGJTk="</f>
        <v>oJShTkcZadb4DOaRM1Hr/r4KXRR9ONSgeq/PQGWGJTk=</v>
      </c>
      <c r="E113" t="str">
        <f t="shared" si="28"/>
        <v>N</v>
      </c>
      <c r="F113" t="str">
        <f t="shared" si="28"/>
        <v>N</v>
      </c>
      <c r="G113" t="str">
        <f t="shared" si="29"/>
        <v>Y</v>
      </c>
      <c r="H113" t="str">
        <f t="shared" si="29"/>
        <v>Y</v>
      </c>
    </row>
    <row r="114" spans="1:8">
      <c r="A114" t="str">
        <f>"gmerida"</f>
        <v>gmerida</v>
      </c>
      <c r="B114" t="str">
        <f t="shared" si="27"/>
        <v>U_ACT</v>
      </c>
      <c r="C114" t="str">
        <f>"Gisela Merida"</f>
        <v>Gisela Merida</v>
      </c>
      <c r="D114" t="str">
        <f>"aISsYzGOa7qgSkCc/palhDoc4lalg1T3djyL2dMwc40="</f>
        <v>aISsYzGOa7qgSkCc/palhDoc4lalg1T3djyL2dMwc40=</v>
      </c>
      <c r="E114" t="str">
        <f t="shared" si="28"/>
        <v>N</v>
      </c>
      <c r="F114" t="str">
        <f t="shared" si="28"/>
        <v>N</v>
      </c>
      <c r="G114" t="str">
        <f t="shared" si="29"/>
        <v>Y</v>
      </c>
      <c r="H114" t="str">
        <f t="shared" si="29"/>
        <v>Y</v>
      </c>
    </row>
    <row r="115" spans="1:8">
      <c r="A115" t="str">
        <f>"edelangel"</f>
        <v>edelangel</v>
      </c>
      <c r="B115" t="str">
        <f t="shared" si="27"/>
        <v>U_ACT</v>
      </c>
      <c r="C115" t="s">
        <v>53</v>
      </c>
      <c r="D115" t="str">
        <f>"+G0CGlgGIgN2y1mXyIRUaQJA4tpKFDU82pvB8Ki59pU="</f>
        <v>+G0CGlgGIgN2y1mXyIRUaQJA4tpKFDU82pvB8Ki59pU=</v>
      </c>
      <c r="E115" t="str">
        <f t="shared" si="28"/>
        <v>N</v>
      </c>
      <c r="F115" t="str">
        <f t="shared" si="28"/>
        <v>N</v>
      </c>
      <c r="G115" t="str">
        <f t="shared" si="29"/>
        <v>Y</v>
      </c>
      <c r="H115" t="str">
        <f t="shared" si="29"/>
        <v>Y</v>
      </c>
    </row>
    <row r="116" spans="1:8">
      <c r="A116" t="str">
        <f>"gdelacruz"</f>
        <v>gdelacruz</v>
      </c>
      <c r="B116" t="str">
        <f t="shared" si="27"/>
        <v>U_ACT</v>
      </c>
      <c r="C116" t="str">
        <f>"Gerardo De La Cruz"</f>
        <v>Gerardo De La Cruz</v>
      </c>
      <c r="D116" t="str">
        <f>"+G0CGlgGIgN2y1mXyIRUaQJA4tpKFDU82pvB8Ki59pU="</f>
        <v>+G0CGlgGIgN2y1mXyIRUaQJA4tpKFDU82pvB8Ki59pU=</v>
      </c>
      <c r="E116" t="str">
        <f t="shared" si="28"/>
        <v>N</v>
      </c>
      <c r="F116" t="str">
        <f t="shared" si="28"/>
        <v>N</v>
      </c>
      <c r="G116" t="str">
        <f t="shared" si="29"/>
        <v>Y</v>
      </c>
      <c r="H116" t="str">
        <f t="shared" si="29"/>
        <v>Y</v>
      </c>
    </row>
    <row r="117" spans="1:8">
      <c r="A117" t="str">
        <f>"ssilguero"</f>
        <v>ssilguero</v>
      </c>
      <c r="B117" t="str">
        <f t="shared" si="27"/>
        <v>U_ACT</v>
      </c>
      <c r="C117" t="str">
        <f>"Sandra G. Silguero"</f>
        <v>Sandra G. Silguero</v>
      </c>
      <c r="D117" t="str">
        <f>"+G0CGlgGIgN2y1mXyIRUaQJA4tpKFDU82pvB8Ki59pU="</f>
        <v>+G0CGlgGIgN2y1mXyIRUaQJA4tpKFDU82pvB8Ki59pU=</v>
      </c>
      <c r="E117" t="str">
        <f>"Y"</f>
        <v>Y</v>
      </c>
      <c r="F117" t="str">
        <f>"N"</f>
        <v>N</v>
      </c>
      <c r="G117" t="str">
        <f>"N"</f>
        <v>N</v>
      </c>
      <c r="H117" t="str">
        <f t="shared" ref="H117:H135" si="30">"Y"</f>
        <v>Y</v>
      </c>
    </row>
    <row r="118" spans="1:8">
      <c r="A118" t="str">
        <f>"ftorres"</f>
        <v>ftorres</v>
      </c>
      <c r="B118" t="str">
        <f t="shared" si="27"/>
        <v>U_ACT</v>
      </c>
      <c r="C118" t="str">
        <f>"Fidel Torres"</f>
        <v>Fidel Torres</v>
      </c>
      <c r="D118" t="str">
        <f>"+G0CGlgGIgN2y1mXyIRUaQJA4tpKFDU82pvB8Ki59pU="</f>
        <v>+G0CGlgGIgN2y1mXyIRUaQJA4tpKFDU82pvB8Ki59pU=</v>
      </c>
      <c r="E118" t="str">
        <f t="shared" ref="E118:F126" si="31">"N"</f>
        <v>N</v>
      </c>
      <c r="F118" t="str">
        <f t="shared" si="31"/>
        <v>N</v>
      </c>
      <c r="G118" t="str">
        <f t="shared" ref="G118:G131" si="32">"Y"</f>
        <v>Y</v>
      </c>
      <c r="H118" t="str">
        <f t="shared" si="30"/>
        <v>Y</v>
      </c>
    </row>
    <row r="119" spans="1:8">
      <c r="A119" t="str">
        <f>"fmartinez"</f>
        <v>fmartinez</v>
      </c>
      <c r="B119" t="str">
        <f t="shared" si="27"/>
        <v>U_ACT</v>
      </c>
      <c r="C119" t="str">
        <f>"Felipe Martinez"</f>
        <v>Felipe Martinez</v>
      </c>
      <c r="D119" t="str">
        <f>"9gc7GvZTMBdixrngvMJznpbgRyFMrG4fVGLbFAyWNck="</f>
        <v>9gc7GvZTMBdixrngvMJznpbgRyFMrG4fVGLbFAyWNck=</v>
      </c>
      <c r="E119" t="str">
        <f t="shared" si="31"/>
        <v>N</v>
      </c>
      <c r="F119" t="str">
        <f t="shared" si="31"/>
        <v>N</v>
      </c>
      <c r="G119" t="str">
        <f t="shared" si="32"/>
        <v>Y</v>
      </c>
      <c r="H119" t="str">
        <f t="shared" si="30"/>
        <v>Y</v>
      </c>
    </row>
    <row r="120" spans="1:8">
      <c r="A120" t="str">
        <f>"bflores"</f>
        <v>bflores</v>
      </c>
      <c r="B120" t="str">
        <f t="shared" si="27"/>
        <v>U_ACT</v>
      </c>
      <c r="C120" t="str">
        <f>"Brenda Flores"</f>
        <v>Brenda Flores</v>
      </c>
      <c r="D120" t="str">
        <f>"kWAhgTtfdeaIZ0OyBQtEtwpSwxBhwyQb7sBadyTQVck="</f>
        <v>kWAhgTtfdeaIZ0OyBQtEtwpSwxBhwyQb7sBadyTQVck=</v>
      </c>
      <c r="E120" t="str">
        <f t="shared" si="31"/>
        <v>N</v>
      </c>
      <c r="F120" t="str">
        <f t="shared" si="31"/>
        <v>N</v>
      </c>
      <c r="G120" t="str">
        <f t="shared" si="32"/>
        <v>Y</v>
      </c>
      <c r="H120" t="str">
        <f t="shared" si="30"/>
        <v>Y</v>
      </c>
    </row>
    <row r="121" spans="1:8">
      <c r="A121" t="str">
        <f>"maruiz"</f>
        <v>maruiz</v>
      </c>
      <c r="B121" t="str">
        <f t="shared" si="27"/>
        <v>U_ACT</v>
      </c>
      <c r="C121" t="str">
        <f>"Miguel Angel Ruiz"</f>
        <v>Miguel Angel Ruiz</v>
      </c>
      <c r="D121" t="str">
        <f>"9ENJwKlnZfNcJvKZdb/nWVzQBtgnpX4JYGwyCXh2qJg="</f>
        <v>9ENJwKlnZfNcJvKZdb/nWVzQBtgnpX4JYGwyCXh2qJg=</v>
      </c>
      <c r="E121" t="str">
        <f t="shared" si="31"/>
        <v>N</v>
      </c>
      <c r="F121" t="str">
        <f t="shared" si="31"/>
        <v>N</v>
      </c>
      <c r="G121" t="str">
        <f t="shared" si="32"/>
        <v>Y</v>
      </c>
      <c r="H121" t="str">
        <f t="shared" si="30"/>
        <v>Y</v>
      </c>
    </row>
    <row r="122" spans="1:8">
      <c r="A122" t="str">
        <f>"rblanco"</f>
        <v>rblanco</v>
      </c>
      <c r="B122" t="str">
        <f t="shared" si="27"/>
        <v>U_ACT</v>
      </c>
      <c r="C122" t="str">
        <f>"Rodolfo Blanco"</f>
        <v>Rodolfo Blanco</v>
      </c>
      <c r="D122" t="str">
        <f>"+G0CGlgGIgN2y1mXyIRUaQJA4tpKFDU82pvB8Ki59pU="</f>
        <v>+G0CGlgGIgN2y1mXyIRUaQJA4tpKFDU82pvB8Ki59pU=</v>
      </c>
      <c r="E122" t="str">
        <f t="shared" si="31"/>
        <v>N</v>
      </c>
      <c r="F122" t="str">
        <f t="shared" si="31"/>
        <v>N</v>
      </c>
      <c r="G122" t="str">
        <f t="shared" si="32"/>
        <v>Y</v>
      </c>
      <c r="H122" t="str">
        <f t="shared" si="30"/>
        <v>Y</v>
      </c>
    </row>
    <row r="123" spans="1:8">
      <c r="A123" t="str">
        <f>"hrojas"</f>
        <v>hrojas</v>
      </c>
      <c r="B123" t="str">
        <f t="shared" si="27"/>
        <v>U_ACT</v>
      </c>
      <c r="C123" t="str">
        <f>"Humberto Rojas"</f>
        <v>Humberto Rojas</v>
      </c>
      <c r="D123" t="str">
        <f>"2ojs3TU+Ge/scLu7DHH5+ID1v428K49OLxa6cVVfX9A="</f>
        <v>2ojs3TU+Ge/scLu7DHH5+ID1v428K49OLxa6cVVfX9A=</v>
      </c>
      <c r="E123" t="str">
        <f t="shared" si="31"/>
        <v>N</v>
      </c>
      <c r="F123" t="str">
        <f t="shared" si="31"/>
        <v>N</v>
      </c>
      <c r="G123" t="str">
        <f t="shared" si="32"/>
        <v>Y</v>
      </c>
      <c r="H123" t="str">
        <f t="shared" si="30"/>
        <v>Y</v>
      </c>
    </row>
    <row r="124" spans="1:8">
      <c r="A124" t="str">
        <f>"alara"</f>
        <v>alara</v>
      </c>
      <c r="B124" t="str">
        <f t="shared" si="27"/>
        <v>U_ACT</v>
      </c>
      <c r="C124" t="s">
        <v>54</v>
      </c>
      <c r="D124" t="str">
        <f>"SS+whcvrNAlHMlZdEql975j2iJYcw7jsa9VEl+Lk5HE="</f>
        <v>SS+whcvrNAlHMlZdEql975j2iJYcw7jsa9VEl+Lk5HE=</v>
      </c>
      <c r="E124" t="str">
        <f t="shared" si="31"/>
        <v>N</v>
      </c>
      <c r="F124" t="str">
        <f t="shared" si="31"/>
        <v>N</v>
      </c>
      <c r="G124" t="str">
        <f t="shared" si="32"/>
        <v>Y</v>
      </c>
      <c r="H124" t="str">
        <f t="shared" si="30"/>
        <v>Y</v>
      </c>
    </row>
    <row r="125" spans="1:8">
      <c r="A125" t="str">
        <f>"chernandez"</f>
        <v>chernandez</v>
      </c>
      <c r="B125" t="str">
        <f t="shared" si="27"/>
        <v>U_ACT</v>
      </c>
      <c r="C125" t="s">
        <v>55</v>
      </c>
      <c r="D125" t="str">
        <f>"+G0CGlgGIgN2y1mXyIRUaQJA4tpKFDU82pvB8Ki59pU="</f>
        <v>+G0CGlgGIgN2y1mXyIRUaQJA4tpKFDU82pvB8Ki59pU=</v>
      </c>
      <c r="E125" t="str">
        <f t="shared" si="31"/>
        <v>N</v>
      </c>
      <c r="F125" t="str">
        <f t="shared" si="31"/>
        <v>N</v>
      </c>
      <c r="G125" t="str">
        <f t="shared" si="32"/>
        <v>Y</v>
      </c>
      <c r="H125" t="str">
        <f t="shared" si="30"/>
        <v>Y</v>
      </c>
    </row>
    <row r="126" spans="1:8">
      <c r="A126" t="str">
        <f>"elopez"</f>
        <v>elopez</v>
      </c>
      <c r="B126" t="str">
        <f t="shared" si="27"/>
        <v>U_ACT</v>
      </c>
      <c r="C126" t="s">
        <v>56</v>
      </c>
      <c r="D126" t="str">
        <f>"xXb3e674eLHCazo3GMu7rl20oDtZeL4jjcOzpdfIpEI="</f>
        <v>xXb3e674eLHCazo3GMu7rl20oDtZeL4jjcOzpdfIpEI=</v>
      </c>
      <c r="E126" t="str">
        <f t="shared" si="31"/>
        <v>N</v>
      </c>
      <c r="F126" t="str">
        <f t="shared" si="31"/>
        <v>N</v>
      </c>
      <c r="G126" t="str">
        <f t="shared" si="32"/>
        <v>Y</v>
      </c>
      <c r="H126" t="str">
        <f t="shared" si="30"/>
        <v>Y</v>
      </c>
    </row>
    <row r="127" spans="1:8">
      <c r="A127" t="str">
        <f>"jdelarosa"</f>
        <v>jdelarosa</v>
      </c>
      <c r="B127" t="str">
        <f t="shared" si="27"/>
        <v>U_ACT</v>
      </c>
      <c r="C127" t="str">
        <f>"Joaquin De La Rosa"</f>
        <v>Joaquin De La Rosa</v>
      </c>
      <c r="D127" t="str">
        <f>"fKWBw1bsamyMevtZZO9w4j9MLcfG3g+hdFyjsYZfmb4="</f>
        <v>fKWBw1bsamyMevtZZO9w4j9MLcfG3g+hdFyjsYZfmb4=</v>
      </c>
      <c r="E127" t="str">
        <f>"Y"</f>
        <v>Y</v>
      </c>
      <c r="F127" t="str">
        <f t="shared" ref="F127:F137" si="33">"N"</f>
        <v>N</v>
      </c>
      <c r="G127" t="str">
        <f t="shared" si="32"/>
        <v>Y</v>
      </c>
      <c r="H127" t="str">
        <f t="shared" si="30"/>
        <v>Y</v>
      </c>
    </row>
    <row r="128" spans="1:8">
      <c r="A128" t="str">
        <f>"jlcruz"</f>
        <v>jlcruz</v>
      </c>
      <c r="B128" t="str">
        <f t="shared" si="27"/>
        <v>U_ACT</v>
      </c>
      <c r="C128" t="str">
        <f>"Jose Luis Cruz"</f>
        <v>Jose Luis Cruz</v>
      </c>
      <c r="D128" t="str">
        <f>"DczDvI5y5GSJ77gurCv6+ziY4OkHi84stYAGc5nSWWA="</f>
        <v>DczDvI5y5GSJ77gurCv6+ziY4OkHi84stYAGc5nSWWA=</v>
      </c>
      <c r="E128" t="str">
        <f>"N"</f>
        <v>N</v>
      </c>
      <c r="F128" t="str">
        <f t="shared" si="33"/>
        <v>N</v>
      </c>
      <c r="G128" t="str">
        <f t="shared" si="32"/>
        <v>Y</v>
      </c>
      <c r="H128" t="str">
        <f t="shared" si="30"/>
        <v>Y</v>
      </c>
    </row>
    <row r="129" spans="1:8">
      <c r="A129" t="str">
        <f>"jramos"</f>
        <v>jramos</v>
      </c>
      <c r="B129" t="str">
        <f t="shared" si="27"/>
        <v>U_ACT</v>
      </c>
      <c r="C129" t="str">
        <f>"Jesus R. Ramos"</f>
        <v>Jesus R. Ramos</v>
      </c>
      <c r="D129" t="str">
        <f>"+G0CGlgGIgN2y1mXyIRUaQJA4tpKFDU82pvB8Ki59pU="</f>
        <v>+G0CGlgGIgN2y1mXyIRUaQJA4tpKFDU82pvB8Ki59pU=</v>
      </c>
      <c r="E129" t="str">
        <f>"N"</f>
        <v>N</v>
      </c>
      <c r="F129" t="str">
        <f t="shared" si="33"/>
        <v>N</v>
      </c>
      <c r="G129" t="str">
        <f t="shared" si="32"/>
        <v>Y</v>
      </c>
      <c r="H129" t="str">
        <f t="shared" si="30"/>
        <v>Y</v>
      </c>
    </row>
    <row r="130" spans="1:8">
      <c r="A130" t="str">
        <f>"jrojas"</f>
        <v>jrojas</v>
      </c>
      <c r="B130" t="str">
        <f t="shared" si="27"/>
        <v>U_ACT</v>
      </c>
      <c r="C130" t="s">
        <v>57</v>
      </c>
      <c r="D130" t="str">
        <f>"U3uKi4HLHPOPHLfhFKpfqepEsjS22ahwT1AeFqo1grk="</f>
        <v>U3uKi4HLHPOPHLfhFKpfqepEsjS22ahwT1AeFqo1grk=</v>
      </c>
      <c r="E130" t="str">
        <f>"N"</f>
        <v>N</v>
      </c>
      <c r="F130" t="str">
        <f t="shared" si="33"/>
        <v>N</v>
      </c>
      <c r="G130" t="str">
        <f t="shared" si="32"/>
        <v>Y</v>
      </c>
      <c r="H130" t="str">
        <f t="shared" si="30"/>
        <v>Y</v>
      </c>
    </row>
    <row r="131" spans="1:8">
      <c r="A131" t="str">
        <f>"macevedo"</f>
        <v>macevedo</v>
      </c>
      <c r="B131" t="str">
        <f t="shared" si="27"/>
        <v>U_ACT</v>
      </c>
      <c r="C131" t="s">
        <v>58</v>
      </c>
      <c r="D131" t="str">
        <f>"EQcbGjoByTpDt4rr8VhlOqrUwpI+P8JCVUhEGnrCcms="</f>
        <v>EQcbGjoByTpDt4rr8VhlOqrUwpI+P8JCVUhEGnrCcms=</v>
      </c>
      <c r="E131" t="str">
        <f>"N"</f>
        <v>N</v>
      </c>
      <c r="F131" t="str">
        <f t="shared" si="33"/>
        <v>N</v>
      </c>
      <c r="G131" t="str">
        <f t="shared" si="32"/>
        <v>Y</v>
      </c>
      <c r="H131" t="str">
        <f t="shared" si="30"/>
        <v>Y</v>
      </c>
    </row>
    <row r="132" spans="1:8">
      <c r="A132" t="str">
        <f>"erivera"</f>
        <v>erivera</v>
      </c>
      <c r="B132" t="str">
        <f t="shared" si="27"/>
        <v>U_ACT</v>
      </c>
      <c r="C132" t="s">
        <v>59</v>
      </c>
      <c r="D132" t="str">
        <f>"XOQnbE1GB8nRGJIM5pI1ji80p2MFBOLcB06qx4QXtf0="</f>
        <v>XOQnbE1GB8nRGJIM5pI1ji80p2MFBOLcB06qx4QXtf0=</v>
      </c>
      <c r="E132" t="str">
        <f>"Y"</f>
        <v>Y</v>
      </c>
      <c r="F132" t="str">
        <f t="shared" si="33"/>
        <v>N</v>
      </c>
      <c r="G132" t="str">
        <f>"N"</f>
        <v>N</v>
      </c>
      <c r="H132" t="str">
        <f t="shared" si="30"/>
        <v>Y</v>
      </c>
    </row>
    <row r="133" spans="1:8">
      <c r="A133" t="str">
        <f>"gerrodriguez"</f>
        <v>gerrodriguez</v>
      </c>
      <c r="B133" t="str">
        <f t="shared" si="27"/>
        <v>U_ACT</v>
      </c>
      <c r="C133" t="s">
        <v>60</v>
      </c>
      <c r="D133" t="str">
        <f>"ChAv5dd8VuNwhj34VhV2BNcje10uI3u4UsALY3eZky8="</f>
        <v>ChAv5dd8VuNwhj34VhV2BNcje10uI3u4UsALY3eZky8=</v>
      </c>
      <c r="E133" t="str">
        <f>"N"</f>
        <v>N</v>
      </c>
      <c r="F133" t="str">
        <f t="shared" si="33"/>
        <v>N</v>
      </c>
      <c r="G133" t="str">
        <f>"Y"</f>
        <v>Y</v>
      </c>
      <c r="H133" t="str">
        <f t="shared" si="30"/>
        <v>Y</v>
      </c>
    </row>
    <row r="134" spans="1:8">
      <c r="A134" t="str">
        <f>"mcastillo"</f>
        <v>mcastillo</v>
      </c>
      <c r="B134" t="str">
        <f t="shared" si="27"/>
        <v>U_ACT</v>
      </c>
      <c r="C134" t="s">
        <v>61</v>
      </c>
      <c r="D134" t="str">
        <f>"twUdt0MUKAeObbEqx2OnibGzGM9tMmJ8ONHlzMP88D8="</f>
        <v>twUdt0MUKAeObbEqx2OnibGzGM9tMmJ8ONHlzMP88D8=</v>
      </c>
      <c r="E134" t="str">
        <f>"Y"</f>
        <v>Y</v>
      </c>
      <c r="F134" t="str">
        <f t="shared" si="33"/>
        <v>N</v>
      </c>
      <c r="G134" t="str">
        <f>"N"</f>
        <v>N</v>
      </c>
      <c r="H134" t="str">
        <f t="shared" si="30"/>
        <v>Y</v>
      </c>
    </row>
    <row r="135" spans="1:8">
      <c r="A135" t="str">
        <f>"rperedo"</f>
        <v>rperedo</v>
      </c>
      <c r="B135" t="str">
        <f t="shared" si="27"/>
        <v>U_ACT</v>
      </c>
      <c r="C135" t="s">
        <v>62</v>
      </c>
      <c r="D135" t="str">
        <f>"zwDrwmq7S1agTUMTG1EesH65RFpN6oYrVH6fIzjeWFA="</f>
        <v>zwDrwmq7S1agTUMTG1EesH65RFpN6oYrVH6fIzjeWFA=</v>
      </c>
      <c r="E135" t="str">
        <f>"Y"</f>
        <v>Y</v>
      </c>
      <c r="F135" t="str">
        <f t="shared" si="33"/>
        <v>N</v>
      </c>
      <c r="G135" t="str">
        <f>"N"</f>
        <v>N</v>
      </c>
      <c r="H135" t="str">
        <f t="shared" si="30"/>
        <v>Y</v>
      </c>
    </row>
    <row r="136" spans="1:8">
      <c r="A136" t="str">
        <f>"oesquema"</f>
        <v>oesquema</v>
      </c>
      <c r="B136" t="str">
        <f>"U_BLO"</f>
        <v>U_BLO</v>
      </c>
      <c r="C136" t="str">
        <f>"OmarEsqueda"</f>
        <v>OmarEsqueda</v>
      </c>
      <c r="D136" t="str">
        <f>"noPasswd"</f>
        <v>noPasswd</v>
      </c>
      <c r="E136" t="str">
        <f t="shared" ref="E136:E144" si="34">"N"</f>
        <v>N</v>
      </c>
      <c r="F136" t="str">
        <f t="shared" si="33"/>
        <v>N</v>
      </c>
      <c r="G136" t="str">
        <f>"N"</f>
        <v>N</v>
      </c>
      <c r="H136" t="str">
        <f>"N"</f>
        <v>N</v>
      </c>
    </row>
    <row r="137" spans="1:8">
      <c r="A137" t="str">
        <f>"oesqueda"</f>
        <v>oesqueda</v>
      </c>
      <c r="B137" t="str">
        <f>"U_ACT"</f>
        <v>U_ACT</v>
      </c>
      <c r="C137" t="s">
        <v>63</v>
      </c>
      <c r="D137" t="str">
        <f>"X8tnT4QQWDv14EvPGep1AFP3mtoj6n2jtcaxSyE2BFc="</f>
        <v>X8tnT4QQWDv14EvPGep1AFP3mtoj6n2jtcaxSyE2BFc=</v>
      </c>
      <c r="E137" t="str">
        <f t="shared" si="34"/>
        <v>N</v>
      </c>
      <c r="F137" t="str">
        <f t="shared" si="33"/>
        <v>N</v>
      </c>
      <c r="G137" t="str">
        <f>"Y"</f>
        <v>Y</v>
      </c>
      <c r="H137" t="str">
        <f>"Y"</f>
        <v>Y</v>
      </c>
    </row>
    <row r="138" spans="1:8">
      <c r="A138" t="str">
        <f>"jmarmolejo"</f>
        <v>jmarmolejo</v>
      </c>
      <c r="B138" t="str">
        <f>"U_ACT"</f>
        <v>U_ACT</v>
      </c>
      <c r="C138" t="str">
        <f>"Julieta Marmolejo"</f>
        <v>Julieta Marmolejo</v>
      </c>
      <c r="D138" t="str">
        <f>"y6DlsEyt3VofFnLTs7Any7v9FUZ7T6XRJO3lvfdUCdk="</f>
        <v>y6DlsEyt3VofFnLTs7Any7v9FUZ7T6XRJO3lvfdUCdk=</v>
      </c>
      <c r="E138" t="str">
        <f t="shared" si="34"/>
        <v>N</v>
      </c>
      <c r="F138" t="str">
        <f>"Y"</f>
        <v>Y</v>
      </c>
      <c r="G138" t="str">
        <f>"N"</f>
        <v>N</v>
      </c>
      <c r="H138" t="str">
        <f>"Y"</f>
        <v>Y</v>
      </c>
    </row>
    <row r="139" spans="1:8">
      <c r="A139" t="str">
        <f>"ucervantes"</f>
        <v>ucervantes</v>
      </c>
      <c r="B139" t="str">
        <f>"U_ACT"</f>
        <v>U_ACT</v>
      </c>
      <c r="C139" t="s">
        <v>64</v>
      </c>
      <c r="D139" t="str">
        <f>"noPasswd"</f>
        <v>noPasswd</v>
      </c>
      <c r="E139" t="str">
        <f t="shared" si="34"/>
        <v>N</v>
      </c>
      <c r="F139" t="str">
        <f t="shared" ref="F139:F144" si="35">"N"</f>
        <v>N</v>
      </c>
      <c r="G139" t="str">
        <f>"Y"</f>
        <v>Y</v>
      </c>
      <c r="H139" t="str">
        <f>"N"</f>
        <v>N</v>
      </c>
    </row>
    <row r="140" spans="1:8">
      <c r="A140" t="str">
        <f>"amendez"</f>
        <v>amendez</v>
      </c>
      <c r="B140" t="str">
        <f>"U_ACT"</f>
        <v>U_ACT</v>
      </c>
      <c r="C140" t="s">
        <v>65</v>
      </c>
      <c r="D140" t="str">
        <f>"Qk7RNryzhpLmjq+rbKUJ7TqAJisliF6R4qBzNZLaBhE="</f>
        <v>Qk7RNryzhpLmjq+rbKUJ7TqAJisliF6R4qBzNZLaBhE=</v>
      </c>
      <c r="E140" t="str">
        <f t="shared" si="34"/>
        <v>N</v>
      </c>
      <c r="F140" t="str">
        <f t="shared" si="35"/>
        <v>N</v>
      </c>
      <c r="G140" t="str">
        <f>"Y"</f>
        <v>Y</v>
      </c>
      <c r="H140" t="str">
        <f>"Y"</f>
        <v>Y</v>
      </c>
    </row>
    <row r="141" spans="1:8">
      <c r="A141" t="str">
        <f>"ngarrido"</f>
        <v>ngarrido</v>
      </c>
      <c r="B141" t="str">
        <f>"U_BLO"</f>
        <v>U_BLO</v>
      </c>
      <c r="C141" t="str">
        <f>"Nohemi Garrido"</f>
        <v>Nohemi Garrido</v>
      </c>
      <c r="D141" t="str">
        <f>"B4oultzWn+KgqR579BcJl0Qak6RviLyuwyEOlnqsHxA="</f>
        <v>B4oultzWn+KgqR579BcJl0Qak6RviLyuwyEOlnqsHxA=</v>
      </c>
      <c r="E141" t="str">
        <f t="shared" si="34"/>
        <v>N</v>
      </c>
      <c r="F141" t="str">
        <f t="shared" si="35"/>
        <v>N</v>
      </c>
      <c r="G141" t="str">
        <f>"N"</f>
        <v>N</v>
      </c>
      <c r="H141" t="str">
        <f>"Y"</f>
        <v>Y</v>
      </c>
    </row>
    <row r="142" spans="1:8">
      <c r="A142" t="str">
        <f>"jcleal"</f>
        <v>jcleal</v>
      </c>
      <c r="B142" t="str">
        <f>"U_ACT"</f>
        <v>U_ACT</v>
      </c>
      <c r="C142" t="str">
        <f>"Leal Juan Carlos"</f>
        <v>Leal Juan Carlos</v>
      </c>
      <c r="D142" t="str">
        <f>"ZSVdo3nZQ9vYBtY+Zfp7Al67gawM07vgMwXV3nHLb58="</f>
        <v>ZSVdo3nZQ9vYBtY+Zfp7Al67gawM07vgMwXV3nHLb58=</v>
      </c>
      <c r="E142" t="str">
        <f t="shared" si="34"/>
        <v>N</v>
      </c>
      <c r="F142" t="str">
        <f t="shared" si="35"/>
        <v>N</v>
      </c>
      <c r="G142" t="str">
        <f>"Y"</f>
        <v>Y</v>
      </c>
      <c r="H142" t="str">
        <f>"N"</f>
        <v>N</v>
      </c>
    </row>
    <row r="143" spans="1:8">
      <c r="A143" t="str">
        <f>"tlugo"</f>
        <v>tlugo</v>
      </c>
      <c r="B143" t="str">
        <f>"U_BLO"</f>
        <v>U_BLO</v>
      </c>
      <c r="C143" t="str">
        <f>"Tomas Lugo"</f>
        <v>Tomas Lugo</v>
      </c>
      <c r="D143" t="str">
        <f>"24SXkn4sOyjtvlf1FsPjiZTJHuBmicfU2QFqIAvXrbA="</f>
        <v>24SXkn4sOyjtvlf1FsPjiZTJHuBmicfU2QFqIAvXrbA=</v>
      </c>
      <c r="E143" t="str">
        <f t="shared" si="34"/>
        <v>N</v>
      </c>
      <c r="F143" t="str">
        <f t="shared" si="35"/>
        <v>N</v>
      </c>
      <c r="G143" t="str">
        <f>"N"</f>
        <v>N</v>
      </c>
      <c r="H143" t="str">
        <f t="shared" ref="H143:H161" si="36">"Y"</f>
        <v>Y</v>
      </c>
    </row>
    <row r="144" spans="1:8">
      <c r="A144" t="str">
        <f>"jsifuentes"</f>
        <v>jsifuentes</v>
      </c>
      <c r="B144" t="str">
        <f>"U_ACT"</f>
        <v>U_ACT</v>
      </c>
      <c r="C144" t="s">
        <v>66</v>
      </c>
      <c r="D144" t="str">
        <f>"nnlSRmOFbidy3BtjlFOF15ubsoYoXkuyZq4je+oTwHA="</f>
        <v>nnlSRmOFbidy3BtjlFOF15ubsoYoXkuyZq4je+oTwHA=</v>
      </c>
      <c r="E144" t="str">
        <f t="shared" si="34"/>
        <v>N</v>
      </c>
      <c r="F144" t="str">
        <f t="shared" si="35"/>
        <v>N</v>
      </c>
      <c r="G144" t="str">
        <f>"Y"</f>
        <v>Y</v>
      </c>
      <c r="H144" t="str">
        <f t="shared" si="36"/>
        <v>Y</v>
      </c>
    </row>
    <row r="145" spans="1:8">
      <c r="A145" t="str">
        <f>"ahernandez"</f>
        <v>ahernandez</v>
      </c>
      <c r="B145" t="str">
        <f>"U_ACT"</f>
        <v>U_ACT</v>
      </c>
      <c r="C145" t="s">
        <v>67</v>
      </c>
      <c r="D145" t="str">
        <f>"+G0CGlgGIgN2y1mXyIRUaQJA4tpKFDU82pvB8Ki59pU="</f>
        <v>+G0CGlgGIgN2y1mXyIRUaQJA4tpKFDU82pvB8Ki59pU=</v>
      </c>
      <c r="E145" t="str">
        <f>"Y"</f>
        <v>Y</v>
      </c>
      <c r="F145" t="str">
        <f>"Y"</f>
        <v>Y</v>
      </c>
      <c r="G145" t="str">
        <f>"Y"</f>
        <v>Y</v>
      </c>
      <c r="H145" t="str">
        <f t="shared" si="36"/>
        <v>Y</v>
      </c>
    </row>
    <row r="146" spans="1:8">
      <c r="A146" t="str">
        <f>"jmbanda"</f>
        <v>jmbanda</v>
      </c>
      <c r="B146" t="str">
        <f>"U_ACT"</f>
        <v>U_ACT</v>
      </c>
      <c r="C146" t="s">
        <v>68</v>
      </c>
      <c r="D146" t="str">
        <f>"e6uJMBgZ9p4iS6i/uVh6R0oMXww88Eo+1RjKr73324s="</f>
        <v>e6uJMBgZ9p4iS6i/uVh6R0oMXww88Eo+1RjKr73324s=</v>
      </c>
      <c r="E146" t="str">
        <f t="shared" ref="E146:F159" si="37">"N"</f>
        <v>N</v>
      </c>
      <c r="F146" t="str">
        <f t="shared" si="37"/>
        <v>N</v>
      </c>
      <c r="G146" t="str">
        <f>"Y"</f>
        <v>Y</v>
      </c>
      <c r="H146" t="str">
        <f t="shared" si="36"/>
        <v>Y</v>
      </c>
    </row>
    <row r="147" spans="1:8">
      <c r="A147" t="str">
        <f>"dnunez"</f>
        <v>dnunez</v>
      </c>
      <c r="B147" t="str">
        <f>"U_ACT"</f>
        <v>U_ACT</v>
      </c>
      <c r="C147" t="s">
        <v>69</v>
      </c>
      <c r="D147" t="str">
        <f>"TRuKjaSaE5Mqb5div2rVFoEzf1ij6FFjOGFcLydT2L8="</f>
        <v>TRuKjaSaE5Mqb5div2rVFoEzf1ij6FFjOGFcLydT2L8=</v>
      </c>
      <c r="E147" t="str">
        <f t="shared" si="37"/>
        <v>N</v>
      </c>
      <c r="F147" t="str">
        <f t="shared" si="37"/>
        <v>N</v>
      </c>
      <c r="G147" t="str">
        <f>"Y"</f>
        <v>Y</v>
      </c>
      <c r="H147" t="str">
        <f t="shared" si="36"/>
        <v>Y</v>
      </c>
    </row>
    <row r="148" spans="1:8">
      <c r="A148" t="str">
        <f>"gtejeda"</f>
        <v>gtejeda</v>
      </c>
      <c r="B148" t="str">
        <f>"U_BLO"</f>
        <v>U_BLO</v>
      </c>
      <c r="C148" t="s">
        <v>70</v>
      </c>
      <c r="D148" t="str">
        <f>"/gPNeysNY24SBLyih8k5tq9C20V8HspL7Lx2DcvK+BQ="</f>
        <v>/gPNeysNY24SBLyih8k5tq9C20V8HspL7Lx2DcvK+BQ=</v>
      </c>
      <c r="E148" t="str">
        <f t="shared" si="37"/>
        <v>N</v>
      </c>
      <c r="F148" t="str">
        <f t="shared" si="37"/>
        <v>N</v>
      </c>
      <c r="G148" t="str">
        <f>"N"</f>
        <v>N</v>
      </c>
      <c r="H148" t="str">
        <f t="shared" si="36"/>
        <v>Y</v>
      </c>
    </row>
    <row r="149" spans="1:8">
      <c r="A149" t="str">
        <f>"rperez"</f>
        <v>rperez</v>
      </c>
      <c r="B149" t="str">
        <f>"U_ACT"</f>
        <v>U_ACT</v>
      </c>
      <c r="C149" t="s">
        <v>71</v>
      </c>
      <c r="D149" t="str">
        <f>"ACGpZFdJYS56e5n9v4h20E1SOIBJABJAUg+oL7aNqWQ="</f>
        <v>ACGpZFdJYS56e5n9v4h20E1SOIBJABJAUg+oL7aNqWQ=</v>
      </c>
      <c r="E149" t="str">
        <f t="shared" si="37"/>
        <v>N</v>
      </c>
      <c r="F149" t="str">
        <f t="shared" si="37"/>
        <v>N</v>
      </c>
      <c r="G149" t="str">
        <f>"Y"</f>
        <v>Y</v>
      </c>
      <c r="H149" t="str">
        <f t="shared" si="36"/>
        <v>Y</v>
      </c>
    </row>
    <row r="150" spans="1:8">
      <c r="A150" t="str">
        <f>"jagutierrez"</f>
        <v>jagutierrez</v>
      </c>
      <c r="B150" t="str">
        <f>"U_ACT"</f>
        <v>U_ACT</v>
      </c>
      <c r="C150" t="s">
        <v>72</v>
      </c>
      <c r="D150" t="str">
        <f>"ISpooI26toyJsnSiWrDZawf4CW+jFYDZTDFaGEqZP9c="</f>
        <v>ISpooI26toyJsnSiWrDZawf4CW+jFYDZTDFaGEqZP9c=</v>
      </c>
      <c r="E150" t="str">
        <f t="shared" si="37"/>
        <v>N</v>
      </c>
      <c r="F150" t="str">
        <f t="shared" si="37"/>
        <v>N</v>
      </c>
      <c r="G150" t="str">
        <f>"Y"</f>
        <v>Y</v>
      </c>
      <c r="H150" t="str">
        <f t="shared" si="36"/>
        <v>Y</v>
      </c>
    </row>
    <row r="151" spans="1:8">
      <c r="A151" t="str">
        <f>"easequeda"</f>
        <v>easequeda</v>
      </c>
      <c r="B151" t="str">
        <f>"U_ACT"</f>
        <v>U_ACT</v>
      </c>
      <c r="C151" t="s">
        <v>73</v>
      </c>
      <c r="D151" t="str">
        <f>"T3jpio9cpZ21baovRTy+VJMkUctDNfSaAn57FoiM4as="</f>
        <v>T3jpio9cpZ21baovRTy+VJMkUctDNfSaAn57FoiM4as=</v>
      </c>
      <c r="E151" t="str">
        <f t="shared" si="37"/>
        <v>N</v>
      </c>
      <c r="F151" t="str">
        <f t="shared" si="37"/>
        <v>N</v>
      </c>
      <c r="G151" t="str">
        <f>"Y"</f>
        <v>Y</v>
      </c>
      <c r="H151" t="str">
        <f t="shared" si="36"/>
        <v>Y</v>
      </c>
    </row>
    <row r="152" spans="1:8">
      <c r="A152" t="str">
        <f>"szamora"</f>
        <v>szamora</v>
      </c>
      <c r="B152" t="str">
        <f>"U_ACT"</f>
        <v>U_ACT</v>
      </c>
      <c r="C152" t="s">
        <v>74</v>
      </c>
      <c r="D152" t="str">
        <f>"BwIUTywf0ER/nL79k01j0Ns0TUGoeCtjN+6GJ9UUrEg="</f>
        <v>BwIUTywf0ER/nL79k01j0Ns0TUGoeCtjN+6GJ9UUrEg=</v>
      </c>
      <c r="E152" t="str">
        <f t="shared" si="37"/>
        <v>N</v>
      </c>
      <c r="F152" t="str">
        <f t="shared" si="37"/>
        <v>N</v>
      </c>
      <c r="G152" t="str">
        <f>"Y"</f>
        <v>Y</v>
      </c>
      <c r="H152" t="str">
        <f t="shared" si="36"/>
        <v>Y</v>
      </c>
    </row>
    <row r="153" spans="1:8">
      <c r="A153" t="str">
        <f>"crcortez"</f>
        <v>crcortez</v>
      </c>
      <c r="B153" t="str">
        <f>"U_BLO"</f>
        <v>U_BLO</v>
      </c>
      <c r="C153" t="s">
        <v>75</v>
      </c>
      <c r="D153" t="str">
        <f>"/3Wsbd/91tSarQeE/iThpz4T+I9GgKZc8MfAb1cVgtU="</f>
        <v>/3Wsbd/91tSarQeE/iThpz4T+I9GgKZc8MfAb1cVgtU=</v>
      </c>
      <c r="E153" t="str">
        <f t="shared" si="37"/>
        <v>N</v>
      </c>
      <c r="F153" t="str">
        <f t="shared" si="37"/>
        <v>N</v>
      </c>
      <c r="G153" t="str">
        <f>"N"</f>
        <v>N</v>
      </c>
      <c r="H153" t="str">
        <f t="shared" si="36"/>
        <v>Y</v>
      </c>
    </row>
    <row r="154" spans="1:8">
      <c r="A154" t="str">
        <f>"hugo.nazarin"</f>
        <v>hugo.nazarin</v>
      </c>
      <c r="B154" t="str">
        <f>"U_ACT"</f>
        <v>U_ACT</v>
      </c>
      <c r="C154" t="s">
        <v>76</v>
      </c>
      <c r="D154" t="str">
        <f>"XRj4ZVM7igVJbUpD4oykYcp9d2CfGu88fDzGInqjUxk="</f>
        <v>XRj4ZVM7igVJbUpD4oykYcp9d2CfGu88fDzGInqjUxk=</v>
      </c>
      <c r="E154" t="str">
        <f t="shared" si="37"/>
        <v>N</v>
      </c>
      <c r="F154" t="str">
        <f t="shared" si="37"/>
        <v>N</v>
      </c>
      <c r="G154" t="str">
        <f>"Y"</f>
        <v>Y</v>
      </c>
      <c r="H154" t="str">
        <f t="shared" si="36"/>
        <v>Y</v>
      </c>
    </row>
    <row r="155" spans="1:8">
      <c r="A155" t="str">
        <f>"fportales"</f>
        <v>fportales</v>
      </c>
      <c r="B155" t="str">
        <f>"U_ACT"</f>
        <v>U_ACT</v>
      </c>
      <c r="C155" t="s">
        <v>77</v>
      </c>
      <c r="D155" t="str">
        <f>"f1YGBaHh6BpDcKJQ8R5aOUVChFfb9aHsWh57oUv/efY="</f>
        <v>f1YGBaHh6BpDcKJQ8R5aOUVChFfb9aHsWh57oUv/efY=</v>
      </c>
      <c r="E155" t="str">
        <f t="shared" si="37"/>
        <v>N</v>
      </c>
      <c r="F155" t="str">
        <f t="shared" si="37"/>
        <v>N</v>
      </c>
      <c r="G155" t="str">
        <f>"Y"</f>
        <v>Y</v>
      </c>
      <c r="H155" t="str">
        <f t="shared" si="36"/>
        <v>Y</v>
      </c>
    </row>
    <row r="156" spans="1:8">
      <c r="A156" t="str">
        <f>"jizarate"</f>
        <v>jizarate</v>
      </c>
      <c r="B156" t="str">
        <f>"U_ACT"</f>
        <v>U_ACT</v>
      </c>
      <c r="C156" t="s">
        <v>78</v>
      </c>
      <c r="D156" t="str">
        <f>"sZcaXJHJIFonwT/sfz54rZlB0AD4qoC1z58DzBtOAEI="</f>
        <v>sZcaXJHJIFonwT/sfz54rZlB0AD4qoC1z58DzBtOAEI=</v>
      </c>
      <c r="E156" t="str">
        <f t="shared" si="37"/>
        <v>N</v>
      </c>
      <c r="F156" t="str">
        <f t="shared" si="37"/>
        <v>N</v>
      </c>
      <c r="G156" t="str">
        <f>"Y"</f>
        <v>Y</v>
      </c>
      <c r="H156" t="str">
        <f t="shared" si="36"/>
        <v>Y</v>
      </c>
    </row>
    <row r="157" spans="1:8">
      <c r="A157" t="str">
        <f>"hturrubiates"</f>
        <v>hturrubiates</v>
      </c>
      <c r="B157" t="str">
        <f>"U_BLO"</f>
        <v>U_BLO</v>
      </c>
      <c r="C157" t="s">
        <v>79</v>
      </c>
      <c r="D157" t="str">
        <f>"ThTMODcS3MuWY+/EB85fPKAMrghy+ErBWPqcRlvyOsw="</f>
        <v>ThTMODcS3MuWY+/EB85fPKAMrghy+ErBWPqcRlvyOsw=</v>
      </c>
      <c r="E157" t="str">
        <f t="shared" si="37"/>
        <v>N</v>
      </c>
      <c r="F157" t="str">
        <f t="shared" si="37"/>
        <v>N</v>
      </c>
      <c r="G157" t="str">
        <f>"N"</f>
        <v>N</v>
      </c>
      <c r="H157" t="str">
        <f t="shared" si="36"/>
        <v>Y</v>
      </c>
    </row>
    <row r="158" spans="1:8">
      <c r="A158" t="str">
        <f>"magarcia"</f>
        <v>magarcia</v>
      </c>
      <c r="B158" t="str">
        <f>"U_ACT"</f>
        <v>U_ACT</v>
      </c>
      <c r="C158" t="s">
        <v>80</v>
      </c>
      <c r="D158" t="str">
        <f>"+G0CGlgGIgN2y1mXyIRUaQJA4tpKFDU82pvB8Ki59pU="</f>
        <v>+G0CGlgGIgN2y1mXyIRUaQJA4tpKFDU82pvB8Ki59pU=</v>
      </c>
      <c r="E158" t="str">
        <f t="shared" si="37"/>
        <v>N</v>
      </c>
      <c r="F158" t="str">
        <f t="shared" si="37"/>
        <v>N</v>
      </c>
      <c r="G158" t="str">
        <f>"Y"</f>
        <v>Y</v>
      </c>
      <c r="H158" t="str">
        <f t="shared" si="36"/>
        <v>Y</v>
      </c>
    </row>
    <row r="159" spans="1:8">
      <c r="A159" t="str">
        <f>"govalle"</f>
        <v>govalle</v>
      </c>
      <c r="B159" t="str">
        <f>"U_BLO"</f>
        <v>U_BLO</v>
      </c>
      <c r="C159" t="s">
        <v>81</v>
      </c>
      <c r="D159" t="str">
        <f>"bxjholrrCJj6f+pLxuiurconKfKUtmVPtCbRpSQ86po="</f>
        <v>bxjholrrCJj6f+pLxuiurconKfKUtmVPtCbRpSQ86po=</v>
      </c>
      <c r="E159" t="str">
        <f t="shared" si="37"/>
        <v>N</v>
      </c>
      <c r="F159" t="str">
        <f t="shared" si="37"/>
        <v>N</v>
      </c>
      <c r="G159" t="str">
        <f>"N"</f>
        <v>N</v>
      </c>
      <c r="H159" t="str">
        <f t="shared" si="36"/>
        <v>Y</v>
      </c>
    </row>
    <row r="160" spans="1:8">
      <c r="A160" t="str">
        <f>"jflarrazolo"</f>
        <v>jflarrazolo</v>
      </c>
      <c r="B160" t="str">
        <f>"U_ACT"</f>
        <v>U_ACT</v>
      </c>
      <c r="C160" t="s">
        <v>82</v>
      </c>
      <c r="D160" t="str">
        <f>"+G0CGlgGIgN2y1mXyIRUaQJA4tpKFDU82pvB8Ki59pU="</f>
        <v>+G0CGlgGIgN2y1mXyIRUaQJA4tpKFDU82pvB8Ki59pU=</v>
      </c>
      <c r="E160" t="str">
        <f>"Y"</f>
        <v>Y</v>
      </c>
      <c r="F160" t="str">
        <f>"N"</f>
        <v>N</v>
      </c>
      <c r="G160" t="str">
        <f>"N"</f>
        <v>N</v>
      </c>
      <c r="H160" t="str">
        <f t="shared" si="36"/>
        <v>Y</v>
      </c>
    </row>
    <row r="161" spans="1:8">
      <c r="A161" t="str">
        <f>"dapanama"</f>
        <v>dapanama</v>
      </c>
      <c r="B161" t="str">
        <f>"U_ACT"</f>
        <v>U_ACT</v>
      </c>
      <c r="C161" t="s">
        <v>83</v>
      </c>
      <c r="D161" t="str">
        <f>"sKmcT6fCbC6hkENdaaV/wKCT2F5SlXZqxIIAytJ5XjU="</f>
        <v>sKmcT6fCbC6hkENdaaV/wKCT2F5SlXZqxIIAytJ5XjU=</v>
      </c>
      <c r="E161" t="str">
        <f t="shared" ref="E161:E168" si="38">"N"</f>
        <v>N</v>
      </c>
      <c r="F161" t="str">
        <f>"N"</f>
        <v>N</v>
      </c>
      <c r="G161" t="str">
        <f>"Y"</f>
        <v>Y</v>
      </c>
      <c r="H161" t="str">
        <f t="shared" si="36"/>
        <v>Y</v>
      </c>
    </row>
    <row r="162" spans="1:8">
      <c r="A162" t="str">
        <f>"jegonzalez"</f>
        <v>jegonzalez</v>
      </c>
      <c r="B162" t="str">
        <f>"U_BLO"</f>
        <v>U_BLO</v>
      </c>
      <c r="C162" t="str">
        <f>"josue.e.gonzalez"</f>
        <v>josue.e.gonzalez</v>
      </c>
      <c r="D162" t="str">
        <f>"Fct2upBCZBnM5yyP4H3j1yrRjaG6O/fRPP9SdbM+ptQ="</f>
        <v>Fct2upBCZBnM5yyP4H3j1yrRjaG6O/fRPP9SdbM+ptQ=</v>
      </c>
      <c r="E162" t="str">
        <f t="shared" si="38"/>
        <v>N</v>
      </c>
      <c r="F162" t="str">
        <f>"Y"</f>
        <v>Y</v>
      </c>
      <c r="G162" t="str">
        <f>"N"</f>
        <v>N</v>
      </c>
      <c r="H162" t="str">
        <f>"N"</f>
        <v>N</v>
      </c>
    </row>
    <row r="163" spans="1:8">
      <c r="A163" t="str">
        <f>"jmmosqueda"</f>
        <v>jmmosqueda</v>
      </c>
      <c r="B163" t="str">
        <f t="shared" ref="B163:B174" si="39">"U_ACT"</f>
        <v>U_ACT</v>
      </c>
      <c r="C163" t="s">
        <v>84</v>
      </c>
      <c r="D163" t="str">
        <f>"QP4IAuQPl09728tnZcmaVsdrBTDE/87CCq2aHX3LDzg="</f>
        <v>QP4IAuQPl09728tnZcmaVsdrBTDE/87CCq2aHX3LDzg=</v>
      </c>
      <c r="E163" t="str">
        <f t="shared" si="38"/>
        <v>N</v>
      </c>
      <c r="F163" t="str">
        <f t="shared" ref="F163:F168" si="40">"N"</f>
        <v>N</v>
      </c>
      <c r="G163" t="str">
        <f t="shared" ref="G163:H165" si="41">"Y"</f>
        <v>Y</v>
      </c>
      <c r="H163" t="str">
        <f t="shared" si="41"/>
        <v>Y</v>
      </c>
    </row>
    <row r="164" spans="1:8">
      <c r="A164" t="str">
        <f>"ecordoba"</f>
        <v>ecordoba</v>
      </c>
      <c r="B164" t="str">
        <f t="shared" si="39"/>
        <v>U_ACT</v>
      </c>
      <c r="C164" t="s">
        <v>85</v>
      </c>
      <c r="D164" t="str">
        <f>"RNUqC/uhj+jrIwn8b0MpfM84ZhmN04Zvr9pJDyOp9oc="</f>
        <v>RNUqC/uhj+jrIwn8b0MpfM84ZhmN04Zvr9pJDyOp9oc=</v>
      </c>
      <c r="E164" t="str">
        <f t="shared" si="38"/>
        <v>N</v>
      </c>
      <c r="F164" t="str">
        <f t="shared" si="40"/>
        <v>N</v>
      </c>
      <c r="G164" t="str">
        <f t="shared" si="41"/>
        <v>Y</v>
      </c>
      <c r="H164" t="str">
        <f t="shared" si="41"/>
        <v>Y</v>
      </c>
    </row>
    <row r="165" spans="1:8">
      <c r="A165" t="str">
        <f>"victor.espinoza"</f>
        <v>victor.espinoza</v>
      </c>
      <c r="B165" t="str">
        <f t="shared" si="39"/>
        <v>U_ACT</v>
      </c>
      <c r="C165" t="s">
        <v>86</v>
      </c>
      <c r="D165" t="str">
        <f>"vryJfKQePtt5mol5HaxB1rkeHBN9p4jC+UzKLAvNpWA="</f>
        <v>vryJfKQePtt5mol5HaxB1rkeHBN9p4jC+UzKLAvNpWA=</v>
      </c>
      <c r="E165" t="str">
        <f t="shared" si="38"/>
        <v>N</v>
      </c>
      <c r="F165" t="str">
        <f t="shared" si="40"/>
        <v>N</v>
      </c>
      <c r="G165" t="str">
        <f t="shared" si="41"/>
        <v>Y</v>
      </c>
      <c r="H165" t="str">
        <f t="shared" si="41"/>
        <v>Y</v>
      </c>
    </row>
    <row r="166" spans="1:8">
      <c r="A166" t="str">
        <f>"pbecerra"</f>
        <v>pbecerra</v>
      </c>
      <c r="B166" t="str">
        <f t="shared" si="39"/>
        <v>U_ACT</v>
      </c>
      <c r="C166" t="s">
        <v>87</v>
      </c>
      <c r="D166" t="str">
        <f>"US7A/Qb6B90m/B6WHMnoWvC6CQIAzOR21rv2Y2OufyQ="</f>
        <v>US7A/Qb6B90m/B6WHMnoWvC6CQIAzOR21rv2Y2OufyQ=</v>
      </c>
      <c r="E166" t="str">
        <f t="shared" si="38"/>
        <v>N</v>
      </c>
      <c r="F166" t="str">
        <f t="shared" si="40"/>
        <v>N</v>
      </c>
      <c r="G166" t="str">
        <f>"Y"</f>
        <v>Y</v>
      </c>
      <c r="H166" t="str">
        <f>"N"</f>
        <v>N</v>
      </c>
    </row>
    <row r="167" spans="1:8">
      <c r="A167" t="str">
        <f>"jhurtado"</f>
        <v>jhurtado</v>
      </c>
      <c r="B167" t="str">
        <f t="shared" si="39"/>
        <v>U_ACT</v>
      </c>
      <c r="C167" t="str">
        <f>"Joaquin Hurtado"</f>
        <v>Joaquin Hurtado</v>
      </c>
      <c r="D167" t="str">
        <f>"CNSH/XWNyFt3MmQLn0lbOW+qWrOSKr7aFtuBwKt3dAM="</f>
        <v>CNSH/XWNyFt3MmQLn0lbOW+qWrOSKr7aFtuBwKt3dAM=</v>
      </c>
      <c r="E167" t="str">
        <f t="shared" si="38"/>
        <v>N</v>
      </c>
      <c r="F167" t="str">
        <f t="shared" si="40"/>
        <v>N</v>
      </c>
      <c r="G167" t="str">
        <f>"Y"</f>
        <v>Y</v>
      </c>
      <c r="H167" t="str">
        <f>"Y"</f>
        <v>Y</v>
      </c>
    </row>
    <row r="168" spans="1:8">
      <c r="A168" t="str">
        <f>"inmar.zarco"</f>
        <v>inmar.zarco</v>
      </c>
      <c r="B168" t="str">
        <f t="shared" si="39"/>
        <v>U_ACT</v>
      </c>
      <c r="C168" t="s">
        <v>88</v>
      </c>
      <c r="D168" t="str">
        <f>"+G0CGlgGIgN2y1mXyIRUaQJA4tpKFDU82pvB8Ki59pU="</f>
        <v>+G0CGlgGIgN2y1mXyIRUaQJA4tpKFDU82pvB8Ki59pU=</v>
      </c>
      <c r="E168" t="str">
        <f t="shared" si="38"/>
        <v>N</v>
      </c>
      <c r="F168" t="str">
        <f t="shared" si="40"/>
        <v>N</v>
      </c>
      <c r="G168" t="str">
        <f>"Y"</f>
        <v>Y</v>
      </c>
      <c r="H168" t="str">
        <f>"N"</f>
        <v>N</v>
      </c>
    </row>
    <row r="169" spans="1:8">
      <c r="A169" t="str">
        <f>"hcharles"</f>
        <v>hcharles</v>
      </c>
      <c r="B169" t="str">
        <f t="shared" si="39"/>
        <v>U_ACT</v>
      </c>
      <c r="C169" t="str">
        <f>"Hilda Charles"</f>
        <v>Hilda Charles</v>
      </c>
      <c r="D169" t="str">
        <f>"eWlWhbZWc1a7IHPKfklRwbroo0MRGVoku58rvVq9yOk="</f>
        <v>eWlWhbZWc1a7IHPKfklRwbroo0MRGVoku58rvVq9yOk=</v>
      </c>
      <c r="E169" t="str">
        <f>"Y"</f>
        <v>Y</v>
      </c>
      <c r="F169" t="str">
        <f>"Y"</f>
        <v>Y</v>
      </c>
      <c r="G169" t="str">
        <f>"Y"</f>
        <v>Y</v>
      </c>
      <c r="H169" t="str">
        <f>"Y"</f>
        <v>Y</v>
      </c>
    </row>
    <row r="170" spans="1:8">
      <c r="A170" t="str">
        <f>"mmorquecho"</f>
        <v>mmorquecho</v>
      </c>
      <c r="B170" t="str">
        <f t="shared" si="39"/>
        <v>U_ACT</v>
      </c>
      <c r="C170" t="s">
        <v>89</v>
      </c>
      <c r="D170" t="str">
        <f>"E2MoIJFOWnyjd20euASs6xFegh//ZoKZfh5YnH+iQkw="</f>
        <v>E2MoIJFOWnyjd20euASs6xFegh//ZoKZfh5YnH+iQkw=</v>
      </c>
      <c r="E170" t="str">
        <f>"Y"</f>
        <v>Y</v>
      </c>
      <c r="F170" t="str">
        <f>"N"</f>
        <v>N</v>
      </c>
      <c r="G170" t="str">
        <f>"N"</f>
        <v>N</v>
      </c>
      <c r="H170" t="str">
        <f>"Y"</f>
        <v>Y</v>
      </c>
    </row>
    <row r="171" spans="1:8">
      <c r="A171" t="str">
        <f>"emorales"</f>
        <v>emorales</v>
      </c>
      <c r="B171" t="str">
        <f t="shared" si="39"/>
        <v>U_ACT</v>
      </c>
      <c r="C171" t="s">
        <v>90</v>
      </c>
      <c r="D171" t="str">
        <f>"+G0CGlgGIgN2y1mXyIRUaQJA4tpKFDU82pvB8Ki59pU="</f>
        <v>+G0CGlgGIgN2y1mXyIRUaQJA4tpKFDU82pvB8Ki59pU=</v>
      </c>
      <c r="E171" t="str">
        <f>"Y"</f>
        <v>Y</v>
      </c>
      <c r="F171" t="str">
        <f>"N"</f>
        <v>N</v>
      </c>
      <c r="G171" t="str">
        <f>"N"</f>
        <v>N</v>
      </c>
      <c r="H171" t="str">
        <f>"Y"</f>
        <v>Y</v>
      </c>
    </row>
    <row r="172" spans="1:8">
      <c r="A172" t="str">
        <f>"jzumaya"</f>
        <v>jzumaya</v>
      </c>
      <c r="B172" t="str">
        <f t="shared" si="39"/>
        <v>U_ACT</v>
      </c>
      <c r="C172" t="s">
        <v>91</v>
      </c>
      <c r="D172" t="str">
        <f>"wBAH/eL5fVqnAUO7R0G/fME6CDFtTgfgtptM/FuxxwM="</f>
        <v>wBAH/eL5fVqnAUO7R0G/fME6CDFtTgfgtptM/FuxxwM=</v>
      </c>
      <c r="E172" t="str">
        <f>"N"</f>
        <v>N</v>
      </c>
      <c r="F172" t="str">
        <f>"N"</f>
        <v>N</v>
      </c>
      <c r="G172" t="str">
        <f>"Y"</f>
        <v>Y</v>
      </c>
      <c r="H172" t="str">
        <f>"Y"</f>
        <v>Y</v>
      </c>
    </row>
    <row r="173" spans="1:8">
      <c r="A173" t="str">
        <f>"sarteaga"</f>
        <v>sarteaga</v>
      </c>
      <c r="B173" t="str">
        <f t="shared" si="39"/>
        <v>U_ACT</v>
      </c>
      <c r="C173" t="str">
        <f>"Sergio Arteaga"</f>
        <v>Sergio Arteaga</v>
      </c>
      <c r="D173" t="str">
        <f>"WxND01tT02JcWQQwMlMQXno4nIPgyRa29Uu3MYRWjBk="</f>
        <v>WxND01tT02JcWQQwMlMQXno4nIPgyRa29Uu3MYRWjBk=</v>
      </c>
      <c r="E173" t="str">
        <f t="shared" ref="E173:E188" si="42">"N"</f>
        <v>N</v>
      </c>
      <c r="F173" t="str">
        <f>"Y"</f>
        <v>Y</v>
      </c>
      <c r="G173" t="str">
        <f>"N"</f>
        <v>N</v>
      </c>
      <c r="H173" t="str">
        <f>"N"</f>
        <v>N</v>
      </c>
    </row>
    <row r="174" spans="1:8">
      <c r="A174" t="str">
        <f>"nalvarez"</f>
        <v>nalvarez</v>
      </c>
      <c r="B174" t="str">
        <f t="shared" si="39"/>
        <v>U_ACT</v>
      </c>
      <c r="C174" t="str">
        <f>"Nallely Alvarez Perez"</f>
        <v>Nallely Alvarez Perez</v>
      </c>
      <c r="D174" t="str">
        <f>"boXiB0GSG9PNo5dylb4nHPYxM6qXKzpWK0zusCFicOU="</f>
        <v>boXiB0GSG9PNo5dylb4nHPYxM6qXKzpWK0zusCFicOU=</v>
      </c>
      <c r="E174" t="str">
        <f t="shared" si="42"/>
        <v>N</v>
      </c>
      <c r="F174" t="str">
        <f t="shared" ref="F174:F193" si="43">"N"</f>
        <v>N</v>
      </c>
      <c r="G174" t="str">
        <f>"Y"</f>
        <v>Y</v>
      </c>
      <c r="H174" t="str">
        <f>"Y"</f>
        <v>Y</v>
      </c>
    </row>
    <row r="175" spans="1:8">
      <c r="A175" t="str">
        <f>"MACEVEDO"</f>
        <v>MACEVEDO</v>
      </c>
      <c r="B175" t="str">
        <f>"U_BLO"</f>
        <v>U_BLO</v>
      </c>
      <c r="C175" t="s">
        <v>58</v>
      </c>
      <c r="D175" t="str">
        <f>"ZtdlJQ5ugvEmt+LsgIA0qfinSovZwKXZUmh0v8tUa/A="</f>
        <v>ZtdlJQ5ugvEmt+LsgIA0qfinSovZwKXZUmh0v8tUa/A=</v>
      </c>
      <c r="E175" t="str">
        <f t="shared" si="42"/>
        <v>N</v>
      </c>
      <c r="F175" t="str">
        <f t="shared" si="43"/>
        <v>N</v>
      </c>
      <c r="G175" t="str">
        <f>"N"</f>
        <v>N</v>
      </c>
      <c r="H175" t="str">
        <f t="shared" ref="H175:H184" si="44">"Y"</f>
        <v>Y</v>
      </c>
    </row>
    <row r="176" spans="1:8">
      <c r="A176" t="str">
        <f>"jrios"</f>
        <v>jrios</v>
      </c>
      <c r="B176" t="str">
        <f t="shared" ref="B176:B189" si="45">"U_ACT"</f>
        <v>U_ACT</v>
      </c>
      <c r="C176" t="s">
        <v>92</v>
      </c>
      <c r="D176" t="str">
        <f>"+G0CGlgGIgN2y1mXyIRUaQJA4tpKFDU82pvB8Ki59pU="</f>
        <v>+G0CGlgGIgN2y1mXyIRUaQJA4tpKFDU82pvB8Ki59pU=</v>
      </c>
      <c r="E176" t="str">
        <f t="shared" si="42"/>
        <v>N</v>
      </c>
      <c r="F176" t="str">
        <f t="shared" si="43"/>
        <v>N</v>
      </c>
      <c r="G176" t="str">
        <f t="shared" ref="G176:G188" si="46">"Y"</f>
        <v>Y</v>
      </c>
      <c r="H176" t="str">
        <f t="shared" si="44"/>
        <v>Y</v>
      </c>
    </row>
    <row r="177" spans="1:8">
      <c r="A177" t="str">
        <f>"mchavez"</f>
        <v>mchavez</v>
      </c>
      <c r="B177" t="str">
        <f t="shared" si="45"/>
        <v>U_ACT</v>
      </c>
      <c r="C177" t="s">
        <v>93</v>
      </c>
      <c r="D177" t="str">
        <f>"+G0CGlgGIgN2y1mXyIRUaQJA4tpKFDU82pvB8Ki59pU="</f>
        <v>+G0CGlgGIgN2y1mXyIRUaQJA4tpKFDU82pvB8Ki59pU=</v>
      </c>
      <c r="E177" t="str">
        <f t="shared" si="42"/>
        <v>N</v>
      </c>
      <c r="F177" t="str">
        <f t="shared" si="43"/>
        <v>N</v>
      </c>
      <c r="G177" t="str">
        <f t="shared" si="46"/>
        <v>Y</v>
      </c>
      <c r="H177" t="str">
        <f t="shared" si="44"/>
        <v>Y</v>
      </c>
    </row>
    <row r="178" spans="1:8">
      <c r="A178" t="str">
        <f>"jcaballero"</f>
        <v>jcaballero</v>
      </c>
      <c r="B178" t="str">
        <f t="shared" si="45"/>
        <v>U_ACT</v>
      </c>
      <c r="C178" t="s">
        <v>94</v>
      </c>
      <c r="D178" t="str">
        <f>"mO6O3fFUMcAGuzsgjVIPtgLxmQgR0kkxc04gb8rH52I="</f>
        <v>mO6O3fFUMcAGuzsgjVIPtgLxmQgR0kkxc04gb8rH52I=</v>
      </c>
      <c r="E178" t="str">
        <f t="shared" si="42"/>
        <v>N</v>
      </c>
      <c r="F178" t="str">
        <f t="shared" si="43"/>
        <v>N</v>
      </c>
      <c r="G178" t="str">
        <f t="shared" si="46"/>
        <v>Y</v>
      </c>
      <c r="H178" t="str">
        <f t="shared" si="44"/>
        <v>Y</v>
      </c>
    </row>
    <row r="179" spans="1:8">
      <c r="A179" t="str">
        <f>"hverastegui"</f>
        <v>hverastegui</v>
      </c>
      <c r="B179" t="str">
        <f t="shared" si="45"/>
        <v>U_ACT</v>
      </c>
      <c r="C179" t="s">
        <v>95</v>
      </c>
      <c r="D179" t="str">
        <f>"jIAY32FOoOxSaaG/g6E1i/vPMkVBWfjUqNLNmWRbI/I="</f>
        <v>jIAY32FOoOxSaaG/g6E1i/vPMkVBWfjUqNLNmWRbI/I=</v>
      </c>
      <c r="E179" t="str">
        <f t="shared" si="42"/>
        <v>N</v>
      </c>
      <c r="F179" t="str">
        <f t="shared" si="43"/>
        <v>N</v>
      </c>
      <c r="G179" t="str">
        <f t="shared" si="46"/>
        <v>Y</v>
      </c>
      <c r="H179" t="str">
        <f t="shared" si="44"/>
        <v>Y</v>
      </c>
    </row>
    <row r="180" spans="1:8">
      <c r="A180" t="str">
        <f>"nmendoza"</f>
        <v>nmendoza</v>
      </c>
      <c r="B180" t="str">
        <f t="shared" si="45"/>
        <v>U_ACT</v>
      </c>
      <c r="C180" t="s">
        <v>96</v>
      </c>
      <c r="D180" t="str">
        <f>"xrrG1WRVkU5cWnQ1lgTqhC29OKgRoCkYRX/gTAMF5Fo="</f>
        <v>xrrG1WRVkU5cWnQ1lgTqhC29OKgRoCkYRX/gTAMF5Fo=</v>
      </c>
      <c r="E180" t="str">
        <f t="shared" si="42"/>
        <v>N</v>
      </c>
      <c r="F180" t="str">
        <f t="shared" si="43"/>
        <v>N</v>
      </c>
      <c r="G180" t="str">
        <f t="shared" si="46"/>
        <v>Y</v>
      </c>
      <c r="H180" t="str">
        <f t="shared" si="44"/>
        <v>Y</v>
      </c>
    </row>
    <row r="181" spans="1:8">
      <c r="A181" t="str">
        <f>"agarcia"</f>
        <v>agarcia</v>
      </c>
      <c r="B181" t="str">
        <f t="shared" si="45"/>
        <v>U_ACT</v>
      </c>
      <c r="C181" t="s">
        <v>97</v>
      </c>
      <c r="D181" t="str">
        <f>"W76SHxRt9Ectv38R2ows36bXMH2nlgylb/Ef5/H1ga4="</f>
        <v>W76SHxRt9Ectv38R2ows36bXMH2nlgylb/Ef5/H1ga4=</v>
      </c>
      <c r="E181" t="str">
        <f t="shared" si="42"/>
        <v>N</v>
      </c>
      <c r="F181" t="str">
        <f t="shared" si="43"/>
        <v>N</v>
      </c>
      <c r="G181" t="str">
        <f t="shared" si="46"/>
        <v>Y</v>
      </c>
      <c r="H181" t="str">
        <f t="shared" si="44"/>
        <v>Y</v>
      </c>
    </row>
    <row r="182" spans="1:8">
      <c r="A182" t="str">
        <f>"egutierrez"</f>
        <v>egutierrez</v>
      </c>
      <c r="B182" t="str">
        <f t="shared" si="45"/>
        <v>U_ACT</v>
      </c>
      <c r="C182" t="s">
        <v>98</v>
      </c>
      <c r="D182" t="str">
        <f>"rjMcKvxRi7Y9Axp4a8XuGrHis7MBejqOhHZ5zLC+PB0="</f>
        <v>rjMcKvxRi7Y9Axp4a8XuGrHis7MBejqOhHZ5zLC+PB0=</v>
      </c>
      <c r="E182" t="str">
        <f t="shared" si="42"/>
        <v>N</v>
      </c>
      <c r="F182" t="str">
        <f t="shared" si="43"/>
        <v>N</v>
      </c>
      <c r="G182" t="str">
        <f t="shared" si="46"/>
        <v>Y</v>
      </c>
      <c r="H182" t="str">
        <f t="shared" si="44"/>
        <v>Y</v>
      </c>
    </row>
    <row r="183" spans="1:8">
      <c r="A183" t="str">
        <f>"rguerrero"</f>
        <v>rguerrero</v>
      </c>
      <c r="B183" t="str">
        <f t="shared" si="45"/>
        <v>U_ACT</v>
      </c>
      <c r="C183" t="s">
        <v>99</v>
      </c>
      <c r="D183" t="str">
        <f>"+G0CGlgGIgN2y1mXyIRUaQJA4tpKFDU82pvB8Ki59pU="</f>
        <v>+G0CGlgGIgN2y1mXyIRUaQJA4tpKFDU82pvB8Ki59pU=</v>
      </c>
      <c r="E183" t="str">
        <f t="shared" si="42"/>
        <v>N</v>
      </c>
      <c r="F183" t="str">
        <f t="shared" si="43"/>
        <v>N</v>
      </c>
      <c r="G183" t="str">
        <f t="shared" si="46"/>
        <v>Y</v>
      </c>
      <c r="H183" t="str">
        <f t="shared" si="44"/>
        <v>Y</v>
      </c>
    </row>
    <row r="184" spans="1:8">
      <c r="A184" t="str">
        <f>"nemartinez"</f>
        <v>nemartinez</v>
      </c>
      <c r="B184" t="str">
        <f t="shared" si="45"/>
        <v>U_ACT</v>
      </c>
      <c r="C184" t="s">
        <v>100</v>
      </c>
      <c r="D184" t="str">
        <f>"+G0CGlgGIgN2y1mXyIRUaQJA4tpKFDU82pvB8Ki59pU="</f>
        <v>+G0CGlgGIgN2y1mXyIRUaQJA4tpKFDU82pvB8Ki59pU=</v>
      </c>
      <c r="E184" t="str">
        <f t="shared" si="42"/>
        <v>N</v>
      </c>
      <c r="F184" t="str">
        <f t="shared" si="43"/>
        <v>N</v>
      </c>
      <c r="G184" t="str">
        <f t="shared" si="46"/>
        <v>Y</v>
      </c>
      <c r="H184" t="str">
        <f t="shared" si="44"/>
        <v>Y</v>
      </c>
    </row>
    <row r="185" spans="1:8">
      <c r="A185" t="str">
        <f>"shernandez"</f>
        <v>shernandez</v>
      </c>
      <c r="B185" t="str">
        <f t="shared" si="45"/>
        <v>U_ACT</v>
      </c>
      <c r="C185" t="s">
        <v>101</v>
      </c>
      <c r="D185" t="str">
        <f>"noPasswd"</f>
        <v>noPasswd</v>
      </c>
      <c r="E185" t="str">
        <f t="shared" si="42"/>
        <v>N</v>
      </c>
      <c r="F185" t="str">
        <f t="shared" si="43"/>
        <v>N</v>
      </c>
      <c r="G185" t="str">
        <f t="shared" si="46"/>
        <v>Y</v>
      </c>
      <c r="H185" t="str">
        <f>"N"</f>
        <v>N</v>
      </c>
    </row>
    <row r="186" spans="1:8">
      <c r="A186" t="str">
        <f>"ijimenez"</f>
        <v>ijimenez</v>
      </c>
      <c r="B186" t="str">
        <f t="shared" si="45"/>
        <v>U_ACT</v>
      </c>
      <c r="C186" t="s">
        <v>102</v>
      </c>
      <c r="D186" t="str">
        <f>"eHjFy4oPJn5qdsB6+3DBI5pbZ746FHTX2h5i1woAKk8="</f>
        <v>eHjFy4oPJn5qdsB6+3DBI5pbZ746FHTX2h5i1woAKk8=</v>
      </c>
      <c r="E186" t="str">
        <f t="shared" si="42"/>
        <v>N</v>
      </c>
      <c r="F186" t="str">
        <f t="shared" si="43"/>
        <v>N</v>
      </c>
      <c r="G186" t="str">
        <f t="shared" si="46"/>
        <v>Y</v>
      </c>
      <c r="H186" t="str">
        <f t="shared" ref="H186:H193" si="47">"Y"</f>
        <v>Y</v>
      </c>
    </row>
    <row r="187" spans="1:8">
      <c r="A187" t="str">
        <f>"aarodriguez"</f>
        <v>aarodriguez</v>
      </c>
      <c r="B187" t="str">
        <f t="shared" si="45"/>
        <v>U_ACT</v>
      </c>
      <c r="C187" t="s">
        <v>103</v>
      </c>
      <c r="D187" t="str">
        <f>"vS9O5v403O8QQBtHBXqsy37YKGBw7GOdp86OEHzp6ig="</f>
        <v>vS9O5v403O8QQBtHBXqsy37YKGBw7GOdp86OEHzp6ig=</v>
      </c>
      <c r="E187" t="str">
        <f t="shared" si="42"/>
        <v>N</v>
      </c>
      <c r="F187" t="str">
        <f t="shared" si="43"/>
        <v>N</v>
      </c>
      <c r="G187" t="str">
        <f t="shared" si="46"/>
        <v>Y</v>
      </c>
      <c r="H187" t="str">
        <f t="shared" si="47"/>
        <v>Y</v>
      </c>
    </row>
    <row r="188" spans="1:8">
      <c r="A188" t="str">
        <f>"emontoya"</f>
        <v>emontoya</v>
      </c>
      <c r="B188" t="str">
        <f t="shared" si="45"/>
        <v>U_ACT</v>
      </c>
      <c r="C188" t="s">
        <v>104</v>
      </c>
      <c r="D188" t="str">
        <f>"ajFd/0m0G3c4RYkrW08+rXzVg7ySEzD9EyugKURyJx0="</f>
        <v>ajFd/0m0G3c4RYkrW08+rXzVg7ySEzD9EyugKURyJx0=</v>
      </c>
      <c r="E188" t="str">
        <f t="shared" si="42"/>
        <v>N</v>
      </c>
      <c r="F188" t="str">
        <f t="shared" si="43"/>
        <v>N</v>
      </c>
      <c r="G188" t="str">
        <f t="shared" si="46"/>
        <v>Y</v>
      </c>
      <c r="H188" t="str">
        <f t="shared" si="47"/>
        <v>Y</v>
      </c>
    </row>
    <row r="189" spans="1:8">
      <c r="A189" t="str">
        <f>"mcruz"</f>
        <v>mcruz</v>
      </c>
      <c r="B189" t="str">
        <f t="shared" si="45"/>
        <v>U_ACT</v>
      </c>
      <c r="C189" t="str">
        <f>"Cruz; Manuel A.."</f>
        <v>Cruz; Manuel A..</v>
      </c>
      <c r="D189" t="str">
        <f>"+G0CGlgGIgN2y1mXyIRUaQJA4tpKFDU82pvB8Ki59pU="</f>
        <v>+G0CGlgGIgN2y1mXyIRUaQJA4tpKFDU82pvB8Ki59pU=</v>
      </c>
      <c r="E189" t="str">
        <f>"Y"</f>
        <v>Y</v>
      </c>
      <c r="F189" t="str">
        <f t="shared" si="43"/>
        <v>N</v>
      </c>
      <c r="G189" t="str">
        <f>"N"</f>
        <v>N</v>
      </c>
      <c r="H189" t="str">
        <f t="shared" si="47"/>
        <v>Y</v>
      </c>
    </row>
    <row r="190" spans="1:8">
      <c r="A190" t="str">
        <f>"slerma"</f>
        <v>slerma</v>
      </c>
      <c r="B190" t="str">
        <f>"U_BLO"</f>
        <v>U_BLO</v>
      </c>
      <c r="C190" t="s">
        <v>105</v>
      </c>
      <c r="D190" t="str">
        <f>"N4sapNJvI3332GYHPrKjx474hbxqJt7Pgjdny9+xtF4="</f>
        <v>N4sapNJvI3332GYHPrKjx474hbxqJt7Pgjdny9+xtF4=</v>
      </c>
      <c r="E190" t="str">
        <f t="shared" ref="E190:E198" si="48">"N"</f>
        <v>N</v>
      </c>
      <c r="F190" t="str">
        <f t="shared" si="43"/>
        <v>N</v>
      </c>
      <c r="G190" t="str">
        <f>"N"</f>
        <v>N</v>
      </c>
      <c r="H190" t="str">
        <f t="shared" si="47"/>
        <v>Y</v>
      </c>
    </row>
    <row r="191" spans="1:8">
      <c r="A191" t="str">
        <f>"lacarrizales"</f>
        <v>lacarrizales</v>
      </c>
      <c r="B191" t="str">
        <f>"U_BLO"</f>
        <v>U_BLO</v>
      </c>
      <c r="C191" t="str">
        <f>"Luis Adrian Carrizales"</f>
        <v>Luis Adrian Carrizales</v>
      </c>
      <c r="D191" t="str">
        <f>"+G0CGlgGIgN2y1mXyIRUaQJA4tpKFDU82pvB8Ki59pU="</f>
        <v>+G0CGlgGIgN2y1mXyIRUaQJA4tpKFDU82pvB8Ki59pU=</v>
      </c>
      <c r="E191" t="str">
        <f t="shared" si="48"/>
        <v>N</v>
      </c>
      <c r="F191" t="str">
        <f t="shared" si="43"/>
        <v>N</v>
      </c>
      <c r="G191" t="str">
        <f>"N"</f>
        <v>N</v>
      </c>
      <c r="H191" t="str">
        <f t="shared" si="47"/>
        <v>Y</v>
      </c>
    </row>
    <row r="192" spans="1:8">
      <c r="A192" t="str">
        <f>"aelias"</f>
        <v>aelias</v>
      </c>
      <c r="B192" t="str">
        <f>"U_ACT"</f>
        <v>U_ACT</v>
      </c>
      <c r="C192" t="str">
        <f>"Alejandro Elias"</f>
        <v>Alejandro Elias</v>
      </c>
      <c r="D192" t="str">
        <f>"O7UrEebhwQl7xnGMkRHI6Y7bKWp3MdLivAkEl4qgj+o="</f>
        <v>O7UrEebhwQl7xnGMkRHI6Y7bKWp3MdLivAkEl4qgj+o=</v>
      </c>
      <c r="E192" t="str">
        <f t="shared" si="48"/>
        <v>N</v>
      </c>
      <c r="F192" t="str">
        <f t="shared" si="43"/>
        <v>N</v>
      </c>
      <c r="G192" t="str">
        <f>"Y"</f>
        <v>Y</v>
      </c>
      <c r="H192" t="str">
        <f t="shared" si="47"/>
        <v>Y</v>
      </c>
    </row>
    <row r="193" spans="1:8">
      <c r="A193" t="str">
        <f>"jgomez"</f>
        <v>jgomez</v>
      </c>
      <c r="B193" t="str">
        <f>"U_ACT"</f>
        <v>U_ACT</v>
      </c>
      <c r="C193" t="s">
        <v>106</v>
      </c>
      <c r="D193" t="str">
        <f>"+G0CGlgGIgN2y1mXyIRUaQJA4tpKFDU82pvB8Ki59pU="</f>
        <v>+G0CGlgGIgN2y1mXyIRUaQJA4tpKFDU82pvB8Ki59pU=</v>
      </c>
      <c r="E193" t="str">
        <f t="shared" si="48"/>
        <v>N</v>
      </c>
      <c r="F193" t="str">
        <f t="shared" si="43"/>
        <v>N</v>
      </c>
      <c r="G193" t="str">
        <f>"Y"</f>
        <v>Y</v>
      </c>
      <c r="H193" t="str">
        <f t="shared" si="47"/>
        <v>Y</v>
      </c>
    </row>
    <row r="194" spans="1:8">
      <c r="A194" t="str">
        <f>"jgonzalez"</f>
        <v>jgonzalez</v>
      </c>
      <c r="B194" t="str">
        <f>"U_ACT"</f>
        <v>U_ACT</v>
      </c>
      <c r="C194" t="s">
        <v>107</v>
      </c>
      <c r="D194" t="str">
        <f>"noPasswd"</f>
        <v>noPasswd</v>
      </c>
      <c r="E194" t="str">
        <f t="shared" si="48"/>
        <v>N</v>
      </c>
      <c r="F194" t="str">
        <f>"Y"</f>
        <v>Y</v>
      </c>
      <c r="G194" t="str">
        <f>"Y"</f>
        <v>Y</v>
      </c>
      <c r="H194" t="str">
        <f>"N"</f>
        <v>N</v>
      </c>
    </row>
    <row r="195" spans="1:8">
      <c r="A195" t="str">
        <f>"ramon.solana"</f>
        <v>ramon.solana</v>
      </c>
      <c r="B195" t="str">
        <f>"U_BLO"</f>
        <v>U_BLO</v>
      </c>
      <c r="C195" t="s">
        <v>108</v>
      </c>
      <c r="D195" t="str">
        <f>"LZE24zM2ZLDtV0RfW7U6/2H+RxLXan1YIp/v9fwaQ6E="</f>
        <v>LZE24zM2ZLDtV0RfW7U6/2H+RxLXan1YIp/v9fwaQ6E=</v>
      </c>
      <c r="E195" t="str">
        <f t="shared" si="48"/>
        <v>N</v>
      </c>
      <c r="F195" t="str">
        <f>"N"</f>
        <v>N</v>
      </c>
      <c r="G195" t="str">
        <f>"N"</f>
        <v>N</v>
      </c>
      <c r="H195" t="str">
        <f>"Y"</f>
        <v>Y</v>
      </c>
    </row>
    <row r="196" spans="1:8">
      <c r="A196" t="str">
        <f>"msadmin"</f>
        <v>msadmin</v>
      </c>
      <c r="B196" t="str">
        <f>"U_BLO"</f>
        <v>U_BLO</v>
      </c>
      <c r="C196" t="str">
        <f>"msadmin"</f>
        <v>msadmin</v>
      </c>
      <c r="D196" t="str">
        <f>"P0oO3cpOblpHl4Um8mhKE64RwmQQUSzK9pe/30rcR5Q="</f>
        <v>P0oO3cpOblpHl4Um8mhKE64RwmQQUSzK9pe/30rcR5Q=</v>
      </c>
      <c r="E196" t="str">
        <f t="shared" si="48"/>
        <v>N</v>
      </c>
      <c r="F196" t="str">
        <f>"N"</f>
        <v>N</v>
      </c>
      <c r="G196" t="str">
        <f>"N"</f>
        <v>N</v>
      </c>
      <c r="H196" t="str">
        <f>"Y"</f>
        <v>Y</v>
      </c>
    </row>
    <row r="197" spans="1:8">
      <c r="A197" t="str">
        <f>"oscar.i.bastian"</f>
        <v>oscar.i.bastian</v>
      </c>
      <c r="B197" t="str">
        <f t="shared" ref="B197:B208" si="49">"U_ACT"</f>
        <v>U_ACT</v>
      </c>
      <c r="C197" t="str">
        <f>"Bastian Oscar I."</f>
        <v>Bastian Oscar I.</v>
      </c>
      <c r="D197" t="str">
        <f>"9CebcC3UzVXVXcI9jeRUtRe8Fl4STnZ8tinlPWkbwoY="</f>
        <v>9CebcC3UzVXVXcI9jeRUtRe8Fl4STnZ8tinlPWkbwoY=</v>
      </c>
      <c r="E197" t="str">
        <f t="shared" si="48"/>
        <v>N</v>
      </c>
      <c r="F197" t="str">
        <f t="shared" ref="F197:F206" si="50">"N"</f>
        <v>N</v>
      </c>
      <c r="G197" t="str">
        <f>"Y"</f>
        <v>Y</v>
      </c>
      <c r="H197" t="str">
        <f>"Y"</f>
        <v>Y</v>
      </c>
    </row>
    <row r="198" spans="1:8">
      <c r="A198" t="str">
        <f>"eduardo.balleza"</f>
        <v>eduardo.balleza</v>
      </c>
      <c r="B198" t="str">
        <f t="shared" si="49"/>
        <v>U_ACT</v>
      </c>
      <c r="C198" t="s">
        <v>109</v>
      </c>
      <c r="D198" t="str">
        <f>"+G0CGlgGIgN2y1mXyIRUaQJA4tpKFDU82pvB8Ki59pU="</f>
        <v>+G0CGlgGIgN2y1mXyIRUaQJA4tpKFDU82pvB8Ki59pU=</v>
      </c>
      <c r="E198" t="str">
        <f t="shared" si="48"/>
        <v>N</v>
      </c>
      <c r="F198" t="str">
        <f t="shared" si="50"/>
        <v>N</v>
      </c>
      <c r="G198" t="str">
        <f>"Y"</f>
        <v>Y</v>
      </c>
      <c r="H198" t="str">
        <f>"Y"</f>
        <v>Y</v>
      </c>
    </row>
    <row r="199" spans="1:8">
      <c r="A199" t="str">
        <f>"francisco.larrazolo"</f>
        <v>francisco.larrazolo</v>
      </c>
      <c r="B199" t="str">
        <f t="shared" si="49"/>
        <v>U_ACT</v>
      </c>
      <c r="C199" t="str">
        <f>"Francisco Larrazolo"</f>
        <v>Francisco Larrazolo</v>
      </c>
      <c r="D199" t="str">
        <f>"btwryWsQ96irCY6tIHsZMOvVMQCb35di0KBlrzYSi04="</f>
        <v>btwryWsQ96irCY6tIHsZMOvVMQCb35di0KBlrzYSi04=</v>
      </c>
      <c r="E199" t="str">
        <f>"Y"</f>
        <v>Y</v>
      </c>
      <c r="F199" t="str">
        <f t="shared" si="50"/>
        <v>N</v>
      </c>
      <c r="G199" t="str">
        <f>"N"</f>
        <v>N</v>
      </c>
      <c r="H199" t="str">
        <f>"N"</f>
        <v>N</v>
      </c>
    </row>
    <row r="200" spans="1:8">
      <c r="A200" t="str">
        <f>"aeperez"</f>
        <v>aeperez</v>
      </c>
      <c r="B200" t="str">
        <f t="shared" si="49"/>
        <v>U_ACT</v>
      </c>
      <c r="C200" t="s">
        <v>110</v>
      </c>
      <c r="D200" t="str">
        <f>"+G0CGlgGIgN2y1mXyIRUaQJA4tpKFDU82pvB8Ki59pU="</f>
        <v>+G0CGlgGIgN2y1mXyIRUaQJA4tpKFDU82pvB8Ki59pU=</v>
      </c>
      <c r="E200" t="str">
        <f t="shared" ref="E200:E220" si="51">"N"</f>
        <v>N</v>
      </c>
      <c r="F200" t="str">
        <f t="shared" si="50"/>
        <v>N</v>
      </c>
      <c r="G200" t="str">
        <f t="shared" ref="G200:G206" si="52">"Y"</f>
        <v>Y</v>
      </c>
      <c r="H200" t="str">
        <f>"N"</f>
        <v>N</v>
      </c>
    </row>
    <row r="201" spans="1:8">
      <c r="A201" t="str">
        <f>"natijerina"</f>
        <v>natijerina</v>
      </c>
      <c r="B201" t="str">
        <f t="shared" si="49"/>
        <v>U_ACT</v>
      </c>
      <c r="C201" t="s">
        <v>111</v>
      </c>
      <c r="D201" t="str">
        <f>"sriDoImWnKQwrqbIXpKvfy2AcLSpxW3HDWRT4lfadMI="</f>
        <v>sriDoImWnKQwrqbIXpKvfy2AcLSpxW3HDWRT4lfadMI=</v>
      </c>
      <c r="E201" t="str">
        <f t="shared" si="51"/>
        <v>N</v>
      </c>
      <c r="F201" t="str">
        <f t="shared" si="50"/>
        <v>N</v>
      </c>
      <c r="G201" t="str">
        <f t="shared" si="52"/>
        <v>Y</v>
      </c>
      <c r="H201" t="str">
        <f>"Y"</f>
        <v>Y</v>
      </c>
    </row>
    <row r="202" spans="1:8">
      <c r="A202" t="str">
        <f>"servando.santos"</f>
        <v>servando.santos</v>
      </c>
      <c r="B202" t="str">
        <f t="shared" si="49"/>
        <v>U_ACT</v>
      </c>
      <c r="C202" t="s">
        <v>112</v>
      </c>
      <c r="D202" t="str">
        <f>"+G0CGlgGIgN2y1mXyIRUaQJA4tpKFDU82pvB8Ki59pU="</f>
        <v>+G0CGlgGIgN2y1mXyIRUaQJA4tpKFDU82pvB8Ki59pU=</v>
      </c>
      <c r="E202" t="str">
        <f t="shared" si="51"/>
        <v>N</v>
      </c>
      <c r="F202" t="str">
        <f t="shared" si="50"/>
        <v>N</v>
      </c>
      <c r="G202" t="str">
        <f t="shared" si="52"/>
        <v>Y</v>
      </c>
      <c r="H202" t="str">
        <f>"N"</f>
        <v>N</v>
      </c>
    </row>
    <row r="203" spans="1:8">
      <c r="A203" t="str">
        <f>"omar.a.salazar"</f>
        <v>omar.a.salazar</v>
      </c>
      <c r="B203" t="str">
        <f t="shared" si="49"/>
        <v>U_ACT</v>
      </c>
      <c r="C203" t="s">
        <v>113</v>
      </c>
      <c r="D203" t="str">
        <f>"SsaiYz/27XnRLpl0glu51+rfZ9xvtoPatu9Ik1WyLOk="</f>
        <v>SsaiYz/27XnRLpl0glu51+rfZ9xvtoPatu9Ik1WyLOk=</v>
      </c>
      <c r="E203" t="str">
        <f t="shared" si="51"/>
        <v>N</v>
      </c>
      <c r="F203" t="str">
        <f t="shared" si="50"/>
        <v>N</v>
      </c>
      <c r="G203" t="str">
        <f t="shared" si="52"/>
        <v>Y</v>
      </c>
      <c r="H203" t="str">
        <f>"Y"</f>
        <v>Y</v>
      </c>
    </row>
    <row r="204" spans="1:8">
      <c r="A204" t="str">
        <f>"victor.a.zapata"</f>
        <v>victor.a.zapata</v>
      </c>
      <c r="B204" t="str">
        <f t="shared" si="49"/>
        <v>U_ACT</v>
      </c>
      <c r="C204" t="s">
        <v>114</v>
      </c>
      <c r="D204" t="str">
        <f>"+G0CGlgGIgN2y1mXyIRUaQJA4tpKFDU82pvB8Ki59pU="</f>
        <v>+G0CGlgGIgN2y1mXyIRUaQJA4tpKFDU82pvB8Ki59pU=</v>
      </c>
      <c r="E204" t="str">
        <f t="shared" si="51"/>
        <v>N</v>
      </c>
      <c r="F204" t="str">
        <f t="shared" si="50"/>
        <v>N</v>
      </c>
      <c r="G204" t="str">
        <f t="shared" si="52"/>
        <v>Y</v>
      </c>
      <c r="H204" t="str">
        <f>"N"</f>
        <v>N</v>
      </c>
    </row>
    <row r="205" spans="1:8">
      <c r="A205" t="str">
        <f>"jose.a.crescencio"</f>
        <v>jose.a.crescencio</v>
      </c>
      <c r="B205" t="str">
        <f t="shared" si="49"/>
        <v>U_ACT</v>
      </c>
      <c r="C205" t="s">
        <v>115</v>
      </c>
      <c r="D205" t="str">
        <f>"+G0CGlgGIgN2y1mXyIRUaQJA4tpKFDU82pvB8Ki59pU="</f>
        <v>+G0CGlgGIgN2y1mXyIRUaQJA4tpKFDU82pvB8Ki59pU=</v>
      </c>
      <c r="E205" t="str">
        <f t="shared" si="51"/>
        <v>N</v>
      </c>
      <c r="F205" t="str">
        <f t="shared" si="50"/>
        <v>N</v>
      </c>
      <c r="G205" t="str">
        <f t="shared" si="52"/>
        <v>Y</v>
      </c>
      <c r="H205" t="str">
        <f>"N"</f>
        <v>N</v>
      </c>
    </row>
    <row r="206" spans="1:8">
      <c r="A206" t="str">
        <f>"israel.ocampo"</f>
        <v>israel.ocampo</v>
      </c>
      <c r="B206" t="str">
        <f t="shared" si="49"/>
        <v>U_ACT</v>
      </c>
      <c r="C206" t="s">
        <v>116</v>
      </c>
      <c r="D206" t="str">
        <f>"+G0CGlgGIgN2y1mXyIRUaQJA4tpKFDU82pvB8Ki59pU="</f>
        <v>+G0CGlgGIgN2y1mXyIRUaQJA4tpKFDU82pvB8Ki59pU=</v>
      </c>
      <c r="E206" t="str">
        <f t="shared" si="51"/>
        <v>N</v>
      </c>
      <c r="F206" t="str">
        <f t="shared" si="50"/>
        <v>N</v>
      </c>
      <c r="G206" t="str">
        <f t="shared" si="52"/>
        <v>Y</v>
      </c>
      <c r="H206" t="str">
        <f>"N"</f>
        <v>N</v>
      </c>
    </row>
    <row r="207" spans="1:8">
      <c r="A207" t="str">
        <f>"fernando.sanchez"</f>
        <v>fernando.sanchez</v>
      </c>
      <c r="B207" t="str">
        <f t="shared" si="49"/>
        <v>U_ACT</v>
      </c>
      <c r="C207" t="s">
        <v>117</v>
      </c>
      <c r="D207" t="str">
        <f>"/bv9Vh4pAEiPCFhoEyBQ59e1bzFWfXpmYSau715kxVc="</f>
        <v>/bv9Vh4pAEiPCFhoEyBQ59e1bzFWfXpmYSau715kxVc=</v>
      </c>
      <c r="E207" t="str">
        <f t="shared" si="51"/>
        <v>N</v>
      </c>
      <c r="F207" t="str">
        <f>"Y"</f>
        <v>Y</v>
      </c>
      <c r="G207" t="str">
        <f>"N"</f>
        <v>N</v>
      </c>
      <c r="H207" t="str">
        <f>"N"</f>
        <v>N</v>
      </c>
    </row>
    <row r="208" spans="1:8">
      <c r="A208" t="str">
        <f>"jramirez"</f>
        <v>jramirez</v>
      </c>
      <c r="B208" t="str">
        <f t="shared" si="49"/>
        <v>U_ACT</v>
      </c>
      <c r="C208" t="str">
        <f>"Juan R. Ramirez"</f>
        <v>Juan R. Ramirez</v>
      </c>
      <c r="D208" t="str">
        <f>"wvZp6HeU4jvEcKO3o/TLPehSQrA/iOB9nPTcRaDjVMU="</f>
        <v>wvZp6HeU4jvEcKO3o/TLPehSQrA/iOB9nPTcRaDjVMU=</v>
      </c>
      <c r="E208" t="str">
        <f t="shared" si="51"/>
        <v>N</v>
      </c>
      <c r="F208" t="str">
        <f t="shared" ref="F208:F220" si="53">"N"</f>
        <v>N</v>
      </c>
      <c r="G208" t="str">
        <f>"Y"</f>
        <v>Y</v>
      </c>
      <c r="H208" t="str">
        <f>"Y"</f>
        <v>Y</v>
      </c>
    </row>
    <row r="209" spans="1:8">
      <c r="A209" t="str">
        <f>"fsanchez"</f>
        <v>fsanchez</v>
      </c>
      <c r="B209" t="str">
        <f>"U_BLO"</f>
        <v>U_BLO</v>
      </c>
      <c r="C209" t="s">
        <v>118</v>
      </c>
      <c r="D209" t="str">
        <f>"vevboEchUoSrsawCPF12OCGmEKrZDvfyZuqq+VdVR2o="</f>
        <v>vevboEchUoSrsawCPF12OCGmEKrZDvfyZuqq+VdVR2o=</v>
      </c>
      <c r="E209" t="str">
        <f t="shared" si="51"/>
        <v>N</v>
      </c>
      <c r="F209" t="str">
        <f t="shared" si="53"/>
        <v>N</v>
      </c>
      <c r="G209" t="str">
        <f>"N"</f>
        <v>N</v>
      </c>
      <c r="H209" t="str">
        <f t="shared" ref="H209:H223" si="54">"Y"</f>
        <v>Y</v>
      </c>
    </row>
    <row r="210" spans="1:8">
      <c r="A210" t="str">
        <f>"alejandro.cisneros"</f>
        <v>alejandro.cisneros</v>
      </c>
      <c r="B210" t="str">
        <f>"U_ACT"</f>
        <v>U_ACT</v>
      </c>
      <c r="C210" t="s">
        <v>119</v>
      </c>
      <c r="D210" t="str">
        <f>"+G0CGlgGIgN2y1mXyIRUaQJA4tpKFDU82pvB8Ki59pU="</f>
        <v>+G0CGlgGIgN2y1mXyIRUaQJA4tpKFDU82pvB8Ki59pU=</v>
      </c>
      <c r="E210" t="str">
        <f t="shared" si="51"/>
        <v>N</v>
      </c>
      <c r="F210" t="str">
        <f t="shared" si="53"/>
        <v>N</v>
      </c>
      <c r="G210" t="str">
        <f>"N"</f>
        <v>N</v>
      </c>
      <c r="H210" t="str">
        <f t="shared" si="54"/>
        <v>Y</v>
      </c>
    </row>
    <row r="211" spans="1:8">
      <c r="A211" t="str">
        <f>"miguel.a.garcias"</f>
        <v>miguel.a.garcias</v>
      </c>
      <c r="B211" t="str">
        <f>"U_BLO"</f>
        <v>U_BLO</v>
      </c>
      <c r="C211" t="s">
        <v>120</v>
      </c>
      <c r="D211" t="str">
        <f>"Yl/RKNo/2DbWavVAzMvdBVqi2GykmAKoG4kNkbQUg2M="</f>
        <v>Yl/RKNo/2DbWavVAzMvdBVqi2GykmAKoG4kNkbQUg2M=</v>
      </c>
      <c r="E211" t="str">
        <f t="shared" si="51"/>
        <v>N</v>
      </c>
      <c r="F211" t="str">
        <f t="shared" si="53"/>
        <v>N</v>
      </c>
      <c r="G211" t="str">
        <f>"N"</f>
        <v>N</v>
      </c>
      <c r="H211" t="str">
        <f t="shared" si="54"/>
        <v>Y</v>
      </c>
    </row>
    <row r="212" spans="1:8">
      <c r="A212" t="str">
        <f>"francisco.ramos"</f>
        <v>francisco.ramos</v>
      </c>
      <c r="B212" t="str">
        <f t="shared" ref="B212:B228" si="55">"U_ACT"</f>
        <v>U_ACT</v>
      </c>
      <c r="C212" t="s">
        <v>121</v>
      </c>
      <c r="D212" t="str">
        <f t="shared" ref="D212:D220" si="56">"+G0CGlgGIgN2y1mXyIRUaQJA4tpKFDU82pvB8Ki59pU="</f>
        <v>+G0CGlgGIgN2y1mXyIRUaQJA4tpKFDU82pvB8Ki59pU=</v>
      </c>
      <c r="E212" t="str">
        <f t="shared" si="51"/>
        <v>N</v>
      </c>
      <c r="F212" t="str">
        <f t="shared" si="53"/>
        <v>N</v>
      </c>
      <c r="G212" t="str">
        <f t="shared" ref="G212:G218" si="57">"Y"</f>
        <v>Y</v>
      </c>
      <c r="H212" t="str">
        <f t="shared" si="54"/>
        <v>Y</v>
      </c>
    </row>
    <row r="213" spans="1:8">
      <c r="A213" t="str">
        <f>"martha.rodriguez"</f>
        <v>martha.rodriguez</v>
      </c>
      <c r="B213" t="str">
        <f t="shared" si="55"/>
        <v>U_ACT</v>
      </c>
      <c r="C213" t="str">
        <f>"Martha Patricia Rodriguez"</f>
        <v>Martha Patricia Rodriguez</v>
      </c>
      <c r="D213" t="str">
        <f t="shared" si="56"/>
        <v>+G0CGlgGIgN2y1mXyIRUaQJA4tpKFDU82pvB8Ki59pU=</v>
      </c>
      <c r="E213" t="str">
        <f t="shared" si="51"/>
        <v>N</v>
      </c>
      <c r="F213" t="str">
        <f t="shared" si="53"/>
        <v>N</v>
      </c>
      <c r="G213" t="str">
        <f t="shared" si="57"/>
        <v>Y</v>
      </c>
      <c r="H213" t="str">
        <f t="shared" si="54"/>
        <v>Y</v>
      </c>
    </row>
    <row r="214" spans="1:8">
      <c r="A214" t="str">
        <f>"ricardo.solis"</f>
        <v>ricardo.solis</v>
      </c>
      <c r="B214" t="str">
        <f t="shared" si="55"/>
        <v>U_ACT</v>
      </c>
      <c r="C214" t="str">
        <f>"Jose Ricardo Solis"</f>
        <v>Jose Ricardo Solis</v>
      </c>
      <c r="D214" t="str">
        <f t="shared" si="56"/>
        <v>+G0CGlgGIgN2y1mXyIRUaQJA4tpKFDU82pvB8Ki59pU=</v>
      </c>
      <c r="E214" t="str">
        <f t="shared" si="51"/>
        <v>N</v>
      </c>
      <c r="F214" t="str">
        <f t="shared" si="53"/>
        <v>N</v>
      </c>
      <c r="G214" t="str">
        <f t="shared" si="57"/>
        <v>Y</v>
      </c>
      <c r="H214" t="str">
        <f t="shared" si="54"/>
        <v>Y</v>
      </c>
    </row>
    <row r="215" spans="1:8">
      <c r="A215" t="str">
        <f>"david.rodriguez"</f>
        <v>david.rodriguez</v>
      </c>
      <c r="B215" t="str">
        <f t="shared" si="55"/>
        <v>U_ACT</v>
      </c>
      <c r="C215" t="str">
        <f>"Davis Anael Rodriguez"</f>
        <v>Davis Anael Rodriguez</v>
      </c>
      <c r="D215" t="str">
        <f t="shared" si="56"/>
        <v>+G0CGlgGIgN2y1mXyIRUaQJA4tpKFDU82pvB8Ki59pU=</v>
      </c>
      <c r="E215" t="str">
        <f t="shared" si="51"/>
        <v>N</v>
      </c>
      <c r="F215" t="str">
        <f t="shared" si="53"/>
        <v>N</v>
      </c>
      <c r="G215" t="str">
        <f t="shared" si="57"/>
        <v>Y</v>
      </c>
      <c r="H215" t="str">
        <f t="shared" si="54"/>
        <v>Y</v>
      </c>
    </row>
    <row r="216" spans="1:8">
      <c r="A216" t="str">
        <f>"jose.guzman"</f>
        <v>jose.guzman</v>
      </c>
      <c r="B216" t="str">
        <f t="shared" si="55"/>
        <v>U_ACT</v>
      </c>
      <c r="C216" t="str">
        <f>"Jose Eduardo Guzman"</f>
        <v>Jose Eduardo Guzman</v>
      </c>
      <c r="D216" t="str">
        <f t="shared" si="56"/>
        <v>+G0CGlgGIgN2y1mXyIRUaQJA4tpKFDU82pvB8Ki59pU=</v>
      </c>
      <c r="E216" t="str">
        <f t="shared" si="51"/>
        <v>N</v>
      </c>
      <c r="F216" t="str">
        <f t="shared" si="53"/>
        <v>N</v>
      </c>
      <c r="G216" t="str">
        <f t="shared" si="57"/>
        <v>Y</v>
      </c>
      <c r="H216" t="str">
        <f t="shared" si="54"/>
        <v>Y</v>
      </c>
    </row>
    <row r="217" spans="1:8">
      <c r="A217" t="str">
        <f>"juan.flores"</f>
        <v>juan.flores</v>
      </c>
      <c r="B217" t="str">
        <f t="shared" si="55"/>
        <v>U_ACT</v>
      </c>
      <c r="C217" t="str">
        <f>"Juan Carlos Flores"</f>
        <v>Juan Carlos Flores</v>
      </c>
      <c r="D217" t="str">
        <f t="shared" si="56"/>
        <v>+G0CGlgGIgN2y1mXyIRUaQJA4tpKFDU82pvB8Ki59pU=</v>
      </c>
      <c r="E217" t="str">
        <f t="shared" si="51"/>
        <v>N</v>
      </c>
      <c r="F217" t="str">
        <f t="shared" si="53"/>
        <v>N</v>
      </c>
      <c r="G217" t="str">
        <f t="shared" si="57"/>
        <v>Y</v>
      </c>
      <c r="H217" t="str">
        <f t="shared" si="54"/>
        <v>Y</v>
      </c>
    </row>
    <row r="218" spans="1:8">
      <c r="A218" t="str">
        <f>"javier.garcia"</f>
        <v>javier.garcia</v>
      </c>
      <c r="B218" t="str">
        <f t="shared" si="55"/>
        <v>U_ACT</v>
      </c>
      <c r="C218" t="str">
        <f>"Javier Garcia Gonzalez"</f>
        <v>Javier Garcia Gonzalez</v>
      </c>
      <c r="D218" t="str">
        <f t="shared" si="56"/>
        <v>+G0CGlgGIgN2y1mXyIRUaQJA4tpKFDU82pvB8Ki59pU=</v>
      </c>
      <c r="E218" t="str">
        <f t="shared" si="51"/>
        <v>N</v>
      </c>
      <c r="F218" t="str">
        <f t="shared" si="53"/>
        <v>N</v>
      </c>
      <c r="G218" t="str">
        <f t="shared" si="57"/>
        <v>Y</v>
      </c>
      <c r="H218" t="str">
        <f t="shared" si="54"/>
        <v>Y</v>
      </c>
    </row>
    <row r="219" spans="1:8">
      <c r="A219" t="str">
        <f>"ramon.ramirez"</f>
        <v>ramon.ramirez</v>
      </c>
      <c r="B219" t="str">
        <f t="shared" si="55"/>
        <v>U_ACT</v>
      </c>
      <c r="C219" t="str">
        <f>"Ramon Ramirez"</f>
        <v>Ramon Ramirez</v>
      </c>
      <c r="D219" t="str">
        <f t="shared" si="56"/>
        <v>+G0CGlgGIgN2y1mXyIRUaQJA4tpKFDU82pvB8Ki59pU=</v>
      </c>
      <c r="E219" t="str">
        <f t="shared" si="51"/>
        <v>N</v>
      </c>
      <c r="F219" t="str">
        <f t="shared" si="53"/>
        <v>N</v>
      </c>
      <c r="G219" t="str">
        <f>"N"</f>
        <v>N</v>
      </c>
      <c r="H219" t="str">
        <f t="shared" si="54"/>
        <v>Y</v>
      </c>
    </row>
    <row r="220" spans="1:8">
      <c r="A220" t="str">
        <f>"jose.perez"</f>
        <v>jose.perez</v>
      </c>
      <c r="B220" t="str">
        <f t="shared" si="55"/>
        <v>U_ACT</v>
      </c>
      <c r="C220" t="str">
        <f>"Jose Perez"</f>
        <v>Jose Perez</v>
      </c>
      <c r="D220" t="str">
        <f t="shared" si="56"/>
        <v>+G0CGlgGIgN2y1mXyIRUaQJA4tpKFDU82pvB8Ki59pU=</v>
      </c>
      <c r="E220" t="str">
        <f t="shared" si="51"/>
        <v>N</v>
      </c>
      <c r="F220" t="str">
        <f t="shared" si="53"/>
        <v>N</v>
      </c>
      <c r="G220" t="str">
        <f>"Y"</f>
        <v>Y</v>
      </c>
      <c r="H220" t="str">
        <f t="shared" si="54"/>
        <v>Y</v>
      </c>
    </row>
    <row r="221" spans="1:8">
      <c r="A221" t="str">
        <f>"rloredo"</f>
        <v>rloredo</v>
      </c>
      <c r="B221" t="str">
        <f t="shared" si="55"/>
        <v>U_ACT</v>
      </c>
      <c r="C221" t="str">
        <f>"Rosario Loredo"</f>
        <v>Rosario Loredo</v>
      </c>
      <c r="D221" t="str">
        <f>"6vrkXBVaFAG8pECgnAkS0rmskwH42H5zEH2PCqcaQU0="</f>
        <v>6vrkXBVaFAG8pECgnAkS0rmskwH42H5zEH2PCqcaQU0=</v>
      </c>
      <c r="E221" t="str">
        <f>"Y"</f>
        <v>Y</v>
      </c>
      <c r="F221" t="str">
        <f>"Y"</f>
        <v>Y</v>
      </c>
      <c r="G221" t="str">
        <f>"N"</f>
        <v>N</v>
      </c>
      <c r="H221" t="str">
        <f t="shared" si="54"/>
        <v>Y</v>
      </c>
    </row>
    <row r="222" spans="1:8">
      <c r="A222" t="str">
        <f>"apmartinez"</f>
        <v>apmartinez</v>
      </c>
      <c r="B222" t="str">
        <f t="shared" si="55"/>
        <v>U_ACT</v>
      </c>
      <c r="C222" t="str">
        <f>"Andi Martinez"</f>
        <v>Andi Martinez</v>
      </c>
      <c r="D222" t="str">
        <f>"+G0CGlgGIgN2y1mXyIRUaQJA4tpKFDU82pvB8Ki59pU="</f>
        <v>+G0CGlgGIgN2y1mXyIRUaQJA4tpKFDU82pvB8Ki59pU=</v>
      </c>
      <c r="E222" t="str">
        <f>"Y"</f>
        <v>Y</v>
      </c>
      <c r="F222" t="str">
        <f>"N"</f>
        <v>N</v>
      </c>
      <c r="G222" t="str">
        <f>"N"</f>
        <v>N</v>
      </c>
      <c r="H222" t="str">
        <f t="shared" si="54"/>
        <v>Y</v>
      </c>
    </row>
    <row r="223" spans="1:8">
      <c r="A223" t="str">
        <f>"sjhinojosa"</f>
        <v>sjhinojosa</v>
      </c>
      <c r="B223" t="str">
        <f t="shared" si="55"/>
        <v>U_ACT</v>
      </c>
      <c r="C223" t="str">
        <f>"San Juana Hinojosa"</f>
        <v>San Juana Hinojosa</v>
      </c>
      <c r="D223" t="str">
        <f>"+G0CGlgGIgN2y1mXyIRUaQJA4tpKFDU82pvB8Ki59pU="</f>
        <v>+G0CGlgGIgN2y1mXyIRUaQJA4tpKFDU82pvB8Ki59pU=</v>
      </c>
      <c r="E223" t="str">
        <f>"Y"</f>
        <v>Y</v>
      </c>
      <c r="F223" t="str">
        <f>"N"</f>
        <v>N</v>
      </c>
      <c r="G223" t="str">
        <f>"N"</f>
        <v>N</v>
      </c>
      <c r="H223" t="str">
        <f t="shared" si="54"/>
        <v>Y</v>
      </c>
    </row>
    <row r="224" spans="1:8">
      <c r="A224" t="str">
        <f>"g_tejeda"</f>
        <v>g_tejeda</v>
      </c>
      <c r="B224" t="str">
        <f t="shared" si="55"/>
        <v>U_ACT</v>
      </c>
      <c r="C224" t="str">
        <f>"Gonzalo Tejeda"</f>
        <v>Gonzalo Tejeda</v>
      </c>
      <c r="D224" t="str">
        <f>"+G0CGlgGIgN2y1mXyIRUaQJA4tpKFDU82pvB8Ki59pU="</f>
        <v>+G0CGlgGIgN2y1mXyIRUaQJA4tpKFDU82pvB8Ki59pU=</v>
      </c>
      <c r="E224" t="str">
        <f>"N"</f>
        <v>N</v>
      </c>
      <c r="F224" t="str">
        <f>"N"</f>
        <v>N</v>
      </c>
      <c r="G224" t="str">
        <f>"Y"</f>
        <v>Y</v>
      </c>
      <c r="H224" t="str">
        <f>"N"</f>
        <v>N</v>
      </c>
    </row>
    <row r="225" spans="1:8">
      <c r="A225" t="str">
        <f>"zfernandez"</f>
        <v>zfernandez</v>
      </c>
      <c r="B225" t="str">
        <f t="shared" si="55"/>
        <v>U_ACT</v>
      </c>
      <c r="C225" t="str">
        <f>"Zaida Fernandez"</f>
        <v>Zaida Fernandez</v>
      </c>
      <c r="D225" t="str">
        <f>"uVRC6wdYFXjtb0hkb9fSSdNgHdgU7eN4OdhTqKQ5gY4="</f>
        <v>uVRC6wdYFXjtb0hkb9fSSdNgHdgU7eN4OdhTqKQ5gY4=</v>
      </c>
      <c r="E225" t="str">
        <f>"Y"</f>
        <v>Y</v>
      </c>
      <c r="F225" t="str">
        <f>"Y"</f>
        <v>Y</v>
      </c>
      <c r="G225" t="str">
        <f>"Y"</f>
        <v>Y</v>
      </c>
      <c r="H225" t="str">
        <f>"Y"</f>
        <v>Y</v>
      </c>
    </row>
    <row r="226" spans="1:8">
      <c r="A226" t="str">
        <f>"krosas"</f>
        <v>krosas</v>
      </c>
      <c r="B226" t="str">
        <f t="shared" si="55"/>
        <v>U_ACT</v>
      </c>
      <c r="C226" t="s">
        <v>122</v>
      </c>
      <c r="D226" t="str">
        <f>"8RAnFDJZYgdpXUwOpMnRKiZ82IucFrckkewlIavxTAg="</f>
        <v>8RAnFDJZYgdpXUwOpMnRKiZ82IucFrckkewlIavxTAg=</v>
      </c>
      <c r="E226" t="str">
        <f>"N"</f>
        <v>N</v>
      </c>
      <c r="F226" t="str">
        <f>"N"</f>
        <v>N</v>
      </c>
      <c r="G226" t="str">
        <f>"Y"</f>
        <v>Y</v>
      </c>
      <c r="H226" t="str">
        <f>"Y"</f>
        <v>Y</v>
      </c>
    </row>
    <row r="227" spans="1:8">
      <c r="A227" t="str">
        <f>"erickrios"</f>
        <v>erickrios</v>
      </c>
      <c r="B227" t="str">
        <f t="shared" si="55"/>
        <v>U_ACT</v>
      </c>
      <c r="C227" t="s">
        <v>123</v>
      </c>
      <c r="D227" t="str">
        <f>"yFlGSHLptUVcwGLAbW4yxFUikWNOIzOIBvS1+FZU+Lw="</f>
        <v>yFlGSHLptUVcwGLAbW4yxFUikWNOIzOIBvS1+FZU+Lw=</v>
      </c>
      <c r="E227" t="str">
        <f>"Y"</f>
        <v>Y</v>
      </c>
      <c r="F227" t="str">
        <f t="shared" ref="F227:F257" si="58">"N"</f>
        <v>N</v>
      </c>
      <c r="G227" t="str">
        <f>"Y"</f>
        <v>Y</v>
      </c>
      <c r="H227" t="str">
        <f>"Y"</f>
        <v>Y</v>
      </c>
    </row>
    <row r="228" spans="1:8">
      <c r="A228" t="str">
        <f>"jvazquez"</f>
        <v>jvazquez</v>
      </c>
      <c r="B228" t="str">
        <f t="shared" si="55"/>
        <v>U_ACT</v>
      </c>
      <c r="C228" t="str">
        <f>"Vazquez Jonathan"</f>
        <v>Vazquez Jonathan</v>
      </c>
      <c r="D228" t="str">
        <f>"0a/b65o/6/yh1J63/w1+T0sM8/gBPSXtanKJN3lYpMA="</f>
        <v>0a/b65o/6/yh1J63/w1+T0sM8/gBPSXtanKJN3lYpMA=</v>
      </c>
      <c r="E228" t="str">
        <f>"N"</f>
        <v>N</v>
      </c>
      <c r="F228" t="str">
        <f t="shared" si="58"/>
        <v>N</v>
      </c>
      <c r="G228" t="str">
        <f>"Y"</f>
        <v>Y</v>
      </c>
      <c r="H228" t="str">
        <f>"Y"</f>
        <v>Y</v>
      </c>
    </row>
    <row r="229" spans="1:8">
      <c r="A229" t="str">
        <f>"optoshop"</f>
        <v>optoshop</v>
      </c>
      <c r="B229" t="str">
        <f>"U_BLO"</f>
        <v>U_BLO</v>
      </c>
      <c r="C229" t="str">
        <f>"Success"</f>
        <v>Success</v>
      </c>
      <c r="D229" t="str">
        <f>"8v4VpQ74UZo/koZ8FTZFlNxdr9jiW7Za04XUeiO/gjY="</f>
        <v>8v4VpQ74UZo/koZ8FTZFlNxdr9jiW7Za04XUeiO/gjY=</v>
      </c>
      <c r="E229" t="str">
        <f>"N"</f>
        <v>N</v>
      </c>
      <c r="F229" t="str">
        <f t="shared" si="58"/>
        <v>N</v>
      </c>
      <c r="G229" t="str">
        <f>"N"</f>
        <v>N</v>
      </c>
      <c r="H229" t="str">
        <f>"Y"</f>
        <v>Y</v>
      </c>
    </row>
    <row r="230" spans="1:8">
      <c r="A230" t="str">
        <f>"pedro.e.becerra"</f>
        <v>pedro.e.becerra</v>
      </c>
      <c r="B230" t="str">
        <f>"U_ACT"</f>
        <v>U_ACT</v>
      </c>
      <c r="C230" t="s">
        <v>124</v>
      </c>
      <c r="D230" t="str">
        <f>"+G0CGlgGIgN2y1mXyIRUaQJA4tpKFDU82pvB8Ki59pU="</f>
        <v>+G0CGlgGIgN2y1mXyIRUaQJA4tpKFDU82pvB8Ki59pU=</v>
      </c>
      <c r="E230" t="str">
        <f>"N"</f>
        <v>N</v>
      </c>
      <c r="F230" t="str">
        <f t="shared" si="58"/>
        <v>N</v>
      </c>
      <c r="G230" t="str">
        <f>"Y"</f>
        <v>Y</v>
      </c>
      <c r="H230" t="str">
        <f>"N"</f>
        <v>N</v>
      </c>
    </row>
    <row r="231" spans="1:8">
      <c r="A231" t="str">
        <f>"jnunez"</f>
        <v>jnunez</v>
      </c>
      <c r="B231" t="str">
        <f>"U_ACT"</f>
        <v>U_ACT</v>
      </c>
      <c r="C231" t="s">
        <v>125</v>
      </c>
      <c r="D231" t="str">
        <f>"bR9/ndU1CcmhvDhomxGzWzRXpsWV9TjVUeoyHDvw12g="</f>
        <v>bR9/ndU1CcmhvDhomxGzWzRXpsWV9TjVUeoyHDvw12g=</v>
      </c>
      <c r="E231" t="str">
        <f>"Y"</f>
        <v>Y</v>
      </c>
      <c r="F231" t="str">
        <f t="shared" si="58"/>
        <v>N</v>
      </c>
      <c r="G231" t="str">
        <f>"N"</f>
        <v>N</v>
      </c>
      <c r="H231" t="str">
        <f t="shared" ref="H231:H249" si="59">"Y"</f>
        <v>Y</v>
      </c>
    </row>
    <row r="232" spans="1:8">
      <c r="A232" t="str">
        <f>"fmora"</f>
        <v>fmora</v>
      </c>
      <c r="B232" t="str">
        <f>"U_ACT"</f>
        <v>U_ACT</v>
      </c>
      <c r="C232" t="s">
        <v>126</v>
      </c>
      <c r="D232" t="str">
        <f>"LYuM7TXgwf/DrUnn7QurVqAfoSS22jOJL9TpoJzi1lM="</f>
        <v>LYuM7TXgwf/DrUnn7QurVqAfoSS22jOJL9TpoJzi1lM=</v>
      </c>
      <c r="E232" t="str">
        <f>"Y"</f>
        <v>Y</v>
      </c>
      <c r="F232" t="str">
        <f t="shared" si="58"/>
        <v>N</v>
      </c>
      <c r="G232" t="str">
        <f>"N"</f>
        <v>N</v>
      </c>
      <c r="H232" t="str">
        <f t="shared" si="59"/>
        <v>Y</v>
      </c>
    </row>
    <row r="233" spans="1:8">
      <c r="A233" t="str">
        <f>"aalmaraz"</f>
        <v>aalmaraz</v>
      </c>
      <c r="B233" t="str">
        <f>"U_BLO"</f>
        <v>U_BLO</v>
      </c>
      <c r="C233" t="str">
        <f>"Alejandro Almaraz"</f>
        <v>Alejandro Almaraz</v>
      </c>
      <c r="D233" t="str">
        <f>"nAwu4hwSba/CG5imXYRmMMcGPnfLLIyWbeYgDzyt01s="</f>
        <v>nAwu4hwSba/CG5imXYRmMMcGPnfLLIyWbeYgDzyt01s=</v>
      </c>
      <c r="E233" t="str">
        <f>"N"</f>
        <v>N</v>
      </c>
      <c r="F233" t="str">
        <f t="shared" si="58"/>
        <v>N</v>
      </c>
      <c r="G233" t="str">
        <f>"N"</f>
        <v>N</v>
      </c>
      <c r="H233" t="str">
        <f t="shared" si="59"/>
        <v>Y</v>
      </c>
    </row>
    <row r="234" spans="1:8">
      <c r="A234" t="str">
        <f>"esalazar"</f>
        <v>esalazar</v>
      </c>
      <c r="B234" t="str">
        <f>"U_ACT"</f>
        <v>U_ACT</v>
      </c>
      <c r="C234" t="s">
        <v>127</v>
      </c>
      <c r="D234" t="str">
        <f>"XRdw1Ou22g8yN9XjXtfhZvZ/dpTjjf7YJ8FIMxMvi0Q="</f>
        <v>XRdw1Ou22g8yN9XjXtfhZvZ/dpTjjf7YJ8FIMxMvi0Q=</v>
      </c>
      <c r="E234" t="str">
        <f>"N"</f>
        <v>N</v>
      </c>
      <c r="F234" t="str">
        <f t="shared" si="58"/>
        <v>N</v>
      </c>
      <c r="G234" t="str">
        <f>"Y"</f>
        <v>Y</v>
      </c>
      <c r="H234" t="str">
        <f t="shared" si="59"/>
        <v>Y</v>
      </c>
    </row>
    <row r="235" spans="1:8">
      <c r="A235" t="str">
        <f>"izuniga"</f>
        <v>izuniga</v>
      </c>
      <c r="B235" t="str">
        <f>"U_ACT"</f>
        <v>U_ACT</v>
      </c>
      <c r="C235" t="s">
        <v>128</v>
      </c>
      <c r="D235" t="str">
        <f>"T+hJw/s1/aJ+5JWQ+CJploE+pqcP3EBpR9tpKW53Ogo="</f>
        <v>T+hJw/s1/aJ+5JWQ+CJploE+pqcP3EBpR9tpKW53Ogo=</v>
      </c>
      <c r="E235" t="str">
        <f>"N"</f>
        <v>N</v>
      </c>
      <c r="F235" t="str">
        <f t="shared" si="58"/>
        <v>N</v>
      </c>
      <c r="G235" t="str">
        <f>"Y"</f>
        <v>Y</v>
      </c>
      <c r="H235" t="str">
        <f t="shared" si="59"/>
        <v>Y</v>
      </c>
    </row>
    <row r="236" spans="1:8">
      <c r="A236" t="str">
        <f>"jgutierrez"</f>
        <v>jgutierrez</v>
      </c>
      <c r="B236" t="str">
        <f>"U_BLO"</f>
        <v>U_BLO</v>
      </c>
      <c r="C236" t="s">
        <v>129</v>
      </c>
      <c r="D236" t="str">
        <f>"S4fz3qjFMGF85FWM1FrOCkXd6Xudv/HOEgYyVlIssxE="</f>
        <v>S4fz3qjFMGF85FWM1FrOCkXd6Xudv/HOEgYyVlIssxE=</v>
      </c>
      <c r="E236" t="str">
        <f>"N"</f>
        <v>N</v>
      </c>
      <c r="F236" t="str">
        <f t="shared" si="58"/>
        <v>N</v>
      </c>
      <c r="G236" t="str">
        <f>"N"</f>
        <v>N</v>
      </c>
      <c r="H236" t="str">
        <f t="shared" si="59"/>
        <v>Y</v>
      </c>
    </row>
    <row r="237" spans="1:8">
      <c r="A237" t="str">
        <f>"jleal"</f>
        <v>jleal</v>
      </c>
      <c r="B237" t="str">
        <f>"U_ACT"</f>
        <v>U_ACT</v>
      </c>
      <c r="C237" t="s">
        <v>130</v>
      </c>
      <c r="D237" t="str">
        <f>"tQUVyPCYapybAgT6WIiStKOtw+fu2l80ztkPWNwv5Bc="</f>
        <v>tQUVyPCYapybAgT6WIiStKOtw+fu2l80ztkPWNwv5Bc=</v>
      </c>
      <c r="E237" t="str">
        <f>"N"</f>
        <v>N</v>
      </c>
      <c r="F237" t="str">
        <f t="shared" si="58"/>
        <v>N</v>
      </c>
      <c r="G237" t="str">
        <f>"Y"</f>
        <v>Y</v>
      </c>
      <c r="H237" t="str">
        <f t="shared" si="59"/>
        <v>Y</v>
      </c>
    </row>
    <row r="238" spans="1:8">
      <c r="A238" t="str">
        <f>"erios"</f>
        <v>erios</v>
      </c>
      <c r="B238" t="str">
        <f>"U_ACT"</f>
        <v>U_ACT</v>
      </c>
      <c r="C238" t="str">
        <f>"Edgar A. Rios"</f>
        <v>Edgar A. Rios</v>
      </c>
      <c r="D238" t="str">
        <f>"+G0CGlgGIgN2y1mXyIRUaQJA4tpKFDU82pvB8Ki59pU="</f>
        <v>+G0CGlgGIgN2y1mXyIRUaQJA4tpKFDU82pvB8Ki59pU=</v>
      </c>
      <c r="E238" t="str">
        <f>"Y"</f>
        <v>Y</v>
      </c>
      <c r="F238" t="str">
        <f t="shared" si="58"/>
        <v>N</v>
      </c>
      <c r="G238" t="str">
        <f>"Y"</f>
        <v>Y</v>
      </c>
      <c r="H238" t="str">
        <f t="shared" si="59"/>
        <v>Y</v>
      </c>
    </row>
    <row r="239" spans="1:8">
      <c r="A239" t="str">
        <f>"hcorona"</f>
        <v>hcorona</v>
      </c>
      <c r="B239" t="str">
        <f>"U_BLO"</f>
        <v>U_BLO</v>
      </c>
      <c r="C239" t="s">
        <v>131</v>
      </c>
      <c r="D239" t="str">
        <f>"Miaj07dA7nQDXo8DxKr/nAcyTPKlhlxJbCuDvafDs7w="</f>
        <v>Miaj07dA7nQDXo8DxKr/nAcyTPKlhlxJbCuDvafDs7w=</v>
      </c>
      <c r="E239" t="str">
        <f t="shared" ref="E239:E247" si="60">"N"</f>
        <v>N</v>
      </c>
      <c r="F239" t="str">
        <f t="shared" si="58"/>
        <v>N</v>
      </c>
      <c r="G239" t="str">
        <f>"N"</f>
        <v>N</v>
      </c>
      <c r="H239" t="str">
        <f t="shared" si="59"/>
        <v>Y</v>
      </c>
    </row>
    <row r="240" spans="1:8">
      <c r="A240" t="str">
        <f>"agamez"</f>
        <v>agamez</v>
      </c>
      <c r="B240" t="str">
        <f>"U_ACT"</f>
        <v>U_ACT</v>
      </c>
      <c r="C240" t="s">
        <v>132</v>
      </c>
      <c r="D240" t="str">
        <f>"+G0CGlgGIgN2y1mXyIRUaQJA4tpKFDU82pvB8Ki59pU="</f>
        <v>+G0CGlgGIgN2y1mXyIRUaQJA4tpKFDU82pvB8Ki59pU=</v>
      </c>
      <c r="E240" t="str">
        <f t="shared" si="60"/>
        <v>N</v>
      </c>
      <c r="F240" t="str">
        <f t="shared" si="58"/>
        <v>N</v>
      </c>
      <c r="G240" t="str">
        <f>"Y"</f>
        <v>Y</v>
      </c>
      <c r="H240" t="str">
        <f t="shared" si="59"/>
        <v>Y</v>
      </c>
    </row>
    <row r="241" spans="1:8">
      <c r="A241" t="str">
        <f>"fgutierrez"</f>
        <v>fgutierrez</v>
      </c>
      <c r="B241" t="str">
        <f>"U_ACT"</f>
        <v>U_ACT</v>
      </c>
      <c r="C241" t="str">
        <f>"Felipe Gutierrez"</f>
        <v>Felipe Gutierrez</v>
      </c>
      <c r="D241" t="str">
        <f>"+G0CGlgGIgN2y1mXyIRUaQJA4tpKFDU82pvB8Ki59pU="</f>
        <v>+G0CGlgGIgN2y1mXyIRUaQJA4tpKFDU82pvB8Ki59pU=</v>
      </c>
      <c r="E241" t="str">
        <f t="shared" si="60"/>
        <v>N</v>
      </c>
      <c r="F241" t="str">
        <f t="shared" si="58"/>
        <v>N</v>
      </c>
      <c r="G241" t="str">
        <f>"Y"</f>
        <v>Y</v>
      </c>
      <c r="H241" t="str">
        <f t="shared" si="59"/>
        <v>Y</v>
      </c>
    </row>
    <row r="242" spans="1:8">
      <c r="A242" t="str">
        <f>"ogaytan"</f>
        <v>ogaytan</v>
      </c>
      <c r="B242" t="str">
        <f>"U_ACT"</f>
        <v>U_ACT</v>
      </c>
      <c r="C242" t="s">
        <v>133</v>
      </c>
      <c r="D242" t="str">
        <f>"MCWdVFbjRTOUt84iPb4GtcW14UkU4X62nHs+pF1W43o="</f>
        <v>MCWdVFbjRTOUt84iPb4GtcW14UkU4X62nHs+pF1W43o=</v>
      </c>
      <c r="E242" t="str">
        <f t="shared" si="60"/>
        <v>N</v>
      </c>
      <c r="F242" t="str">
        <f t="shared" si="58"/>
        <v>N</v>
      </c>
      <c r="G242" t="str">
        <f>"Y"</f>
        <v>Y</v>
      </c>
      <c r="H242" t="str">
        <f t="shared" si="59"/>
        <v>Y</v>
      </c>
    </row>
    <row r="243" spans="1:8">
      <c r="A243" t="str">
        <f>"afgarcia"</f>
        <v>afgarcia</v>
      </c>
      <c r="B243" t="str">
        <f>"U_ACT"</f>
        <v>U_ACT</v>
      </c>
      <c r="C243" t="s">
        <v>48</v>
      </c>
      <c r="D243" t="str">
        <f>"md7yDg/CoRSFGfSJQ2uoM8TyhdKKbtXU0wYh2UeB1dc="</f>
        <v>md7yDg/CoRSFGfSJQ2uoM8TyhdKKbtXU0wYh2UeB1dc=</v>
      </c>
      <c r="E243" t="str">
        <f t="shared" si="60"/>
        <v>N</v>
      </c>
      <c r="F243" t="str">
        <f t="shared" si="58"/>
        <v>N</v>
      </c>
      <c r="G243" t="str">
        <f>"Y"</f>
        <v>Y</v>
      </c>
      <c r="H243" t="str">
        <f t="shared" si="59"/>
        <v>Y</v>
      </c>
    </row>
    <row r="244" spans="1:8">
      <c r="A244" t="str">
        <f>"daraguz"</f>
        <v>daraguz</v>
      </c>
      <c r="B244" t="str">
        <f>"U_BLO"</f>
        <v>U_BLO</v>
      </c>
      <c r="C244" t="s">
        <v>134</v>
      </c>
      <c r="D244" t="str">
        <f>"87OgjcrrEgaMTUqvrgTP3GU3KLB2juBCfbf2AHg2BVY="</f>
        <v>87OgjcrrEgaMTUqvrgTP3GU3KLB2juBCfbf2AHg2BVY=</v>
      </c>
      <c r="E244" t="str">
        <f t="shared" si="60"/>
        <v>N</v>
      </c>
      <c r="F244" t="str">
        <f t="shared" si="58"/>
        <v>N</v>
      </c>
      <c r="G244" t="str">
        <f>"N"</f>
        <v>N</v>
      </c>
      <c r="H244" t="str">
        <f t="shared" si="59"/>
        <v>Y</v>
      </c>
    </row>
    <row r="245" spans="1:8">
      <c r="A245" t="str">
        <f>"jserna"</f>
        <v>jserna</v>
      </c>
      <c r="B245" t="str">
        <f>"U_ACT"</f>
        <v>U_ACT</v>
      </c>
      <c r="C245" t="str">
        <f>"Juan D. Serna"</f>
        <v>Juan D. Serna</v>
      </c>
      <c r="D245" t="str">
        <f>"HsTpXBvfWt/RRFIdwVxFy89Ppl1CR4qKLZ9CQnlHtwE="</f>
        <v>HsTpXBvfWt/RRFIdwVxFy89Ppl1CR4qKLZ9CQnlHtwE=</v>
      </c>
      <c r="E245" t="str">
        <f t="shared" si="60"/>
        <v>N</v>
      </c>
      <c r="F245" t="str">
        <f t="shared" si="58"/>
        <v>N</v>
      </c>
      <c r="G245" t="str">
        <f>"Y"</f>
        <v>Y</v>
      </c>
      <c r="H245" t="str">
        <f t="shared" si="59"/>
        <v>Y</v>
      </c>
    </row>
    <row r="246" spans="1:8">
      <c r="A246" t="str">
        <f>"dbanda"</f>
        <v>dbanda</v>
      </c>
      <c r="B246" t="str">
        <f>"U_ACT"</f>
        <v>U_ACT</v>
      </c>
      <c r="C246" t="s">
        <v>135</v>
      </c>
      <c r="D246" t="str">
        <f>"5Ul4lZoA95YYr1QRHG2csQR2OOFmUgF5b4BqeUE8+8Q="</f>
        <v>5Ul4lZoA95YYr1QRHG2csQR2OOFmUgF5b4BqeUE8+8Q=</v>
      </c>
      <c r="E246" t="str">
        <f t="shared" si="60"/>
        <v>N</v>
      </c>
      <c r="F246" t="str">
        <f t="shared" si="58"/>
        <v>N</v>
      </c>
      <c r="G246" t="str">
        <f>"Y"</f>
        <v>Y</v>
      </c>
      <c r="H246" t="str">
        <f t="shared" si="59"/>
        <v>Y</v>
      </c>
    </row>
    <row r="247" spans="1:8">
      <c r="A247" t="str">
        <f>"iguerrero"</f>
        <v>iguerrero</v>
      </c>
      <c r="B247" t="str">
        <f>"U_BLO"</f>
        <v>U_BLO</v>
      </c>
      <c r="C247" t="s">
        <v>136</v>
      </c>
      <c r="D247" t="str">
        <f>"Wtq2oL/es7epygbvYYu8bMcmpbphwK2zdjEbS7MVVyA="</f>
        <v>Wtq2oL/es7epygbvYYu8bMcmpbphwK2zdjEbS7MVVyA=</v>
      </c>
      <c r="E247" t="str">
        <f t="shared" si="60"/>
        <v>N</v>
      </c>
      <c r="F247" t="str">
        <f t="shared" si="58"/>
        <v>N</v>
      </c>
      <c r="G247" t="str">
        <f>"N"</f>
        <v>N</v>
      </c>
      <c r="H247" t="str">
        <f t="shared" si="59"/>
        <v>Y</v>
      </c>
    </row>
    <row r="248" spans="1:8">
      <c r="A248" t="str">
        <f>"erodriguez"</f>
        <v>erodriguez</v>
      </c>
      <c r="B248" t="str">
        <f t="shared" ref="B248:B259" si="61">"U_ACT"</f>
        <v>U_ACT</v>
      </c>
      <c r="C248" t="s">
        <v>137</v>
      </c>
      <c r="D248" t="str">
        <f>"+G0CGlgGIgN2y1mXyIRUaQJA4tpKFDU82pvB8Ki59pU="</f>
        <v>+G0CGlgGIgN2y1mXyIRUaQJA4tpKFDU82pvB8Ki59pU=</v>
      </c>
      <c r="E248" t="str">
        <f>"Y"</f>
        <v>Y</v>
      </c>
      <c r="F248" t="str">
        <f t="shared" si="58"/>
        <v>N</v>
      </c>
      <c r="G248" t="str">
        <f>"N"</f>
        <v>N</v>
      </c>
      <c r="H248" t="str">
        <f t="shared" si="59"/>
        <v>Y</v>
      </c>
    </row>
    <row r="249" spans="1:8">
      <c r="A249" t="str">
        <f>"rdwvalle"</f>
        <v>rdwvalle</v>
      </c>
      <c r="B249" t="str">
        <f t="shared" si="61"/>
        <v>U_ACT</v>
      </c>
      <c r="C249" t="s">
        <v>138</v>
      </c>
      <c r="D249" t="str">
        <f>"KJubBySVWCLGNBWWsfnvtIUD4PD+Tdl/KedDxxdrcIM="</f>
        <v>KJubBySVWCLGNBWWsfnvtIUD4PD+Tdl/KedDxxdrcIM=</v>
      </c>
      <c r="E249" t="str">
        <f t="shared" ref="E249:E255" si="62">"N"</f>
        <v>N</v>
      </c>
      <c r="F249" t="str">
        <f t="shared" si="58"/>
        <v>N</v>
      </c>
      <c r="G249" t="str">
        <f t="shared" ref="G249:G255" si="63">"Y"</f>
        <v>Y</v>
      </c>
      <c r="H249" t="str">
        <f t="shared" si="59"/>
        <v>Y</v>
      </c>
    </row>
    <row r="250" spans="1:8">
      <c r="A250" t="str">
        <f>"larivera"</f>
        <v>larivera</v>
      </c>
      <c r="B250" t="str">
        <f t="shared" si="61"/>
        <v>U_ACT</v>
      </c>
      <c r="C250" t="s">
        <v>139</v>
      </c>
      <c r="D250" t="str">
        <f>"noPasswd"</f>
        <v>noPasswd</v>
      </c>
      <c r="E250" t="str">
        <f t="shared" si="62"/>
        <v>N</v>
      </c>
      <c r="F250" t="str">
        <f t="shared" si="58"/>
        <v>N</v>
      </c>
      <c r="G250" t="str">
        <f t="shared" si="63"/>
        <v>Y</v>
      </c>
      <c r="H250" t="str">
        <f>"N"</f>
        <v>N</v>
      </c>
    </row>
    <row r="251" spans="1:8">
      <c r="A251" t="str">
        <f>"lrivera"</f>
        <v>lrivera</v>
      </c>
      <c r="B251" t="str">
        <f t="shared" si="61"/>
        <v>U_ACT</v>
      </c>
      <c r="C251" t="str">
        <f>"Luis A. Rivera"</f>
        <v>Luis A. Rivera</v>
      </c>
      <c r="D251" t="str">
        <f>"FxdTVIGvwt+VpKQRq3DyoTRHvOlXKoXUg+VdglGqQwk="</f>
        <v>FxdTVIGvwt+VpKQRq3DyoTRHvOlXKoXUg+VdglGqQwk=</v>
      </c>
      <c r="E251" t="str">
        <f t="shared" si="62"/>
        <v>N</v>
      </c>
      <c r="F251" t="str">
        <f t="shared" si="58"/>
        <v>N</v>
      </c>
      <c r="G251" t="str">
        <f t="shared" si="63"/>
        <v>Y</v>
      </c>
      <c r="H251" t="str">
        <f t="shared" ref="H251:H257" si="64">"Y"</f>
        <v>Y</v>
      </c>
    </row>
    <row r="252" spans="1:8">
      <c r="A252" t="str">
        <f>"ocobos"</f>
        <v>ocobos</v>
      </c>
      <c r="B252" t="str">
        <f t="shared" si="61"/>
        <v>U_ACT</v>
      </c>
      <c r="C252" t="s">
        <v>140</v>
      </c>
      <c r="D252" t="str">
        <f>"5ixuC1jxS7P316v3nztvp7t3GyCk9S4f8pMpD+gyFVs="</f>
        <v>5ixuC1jxS7P316v3nztvp7t3GyCk9S4f8pMpD+gyFVs=</v>
      </c>
      <c r="E252" t="str">
        <f t="shared" si="62"/>
        <v>N</v>
      </c>
      <c r="F252" t="str">
        <f t="shared" si="58"/>
        <v>N</v>
      </c>
      <c r="G252" t="str">
        <f t="shared" si="63"/>
        <v>Y</v>
      </c>
      <c r="H252" t="str">
        <f t="shared" si="64"/>
        <v>Y</v>
      </c>
    </row>
    <row r="253" spans="1:8">
      <c r="A253" t="str">
        <f>"ejavila"</f>
        <v>ejavila</v>
      </c>
      <c r="B253" t="str">
        <f t="shared" si="61"/>
        <v>U_ACT</v>
      </c>
      <c r="C253" t="s">
        <v>141</v>
      </c>
      <c r="D253" t="str">
        <f>"+G0CGlgGIgN2y1mXyIRUaQJA4tpKFDU82pvB8Ki59pU="</f>
        <v>+G0CGlgGIgN2y1mXyIRUaQJA4tpKFDU82pvB8Ki59pU=</v>
      </c>
      <c r="E253" t="str">
        <f t="shared" si="62"/>
        <v>N</v>
      </c>
      <c r="F253" t="str">
        <f t="shared" si="58"/>
        <v>N</v>
      </c>
      <c r="G253" t="str">
        <f t="shared" si="63"/>
        <v>Y</v>
      </c>
      <c r="H253" t="str">
        <f t="shared" si="64"/>
        <v>Y</v>
      </c>
    </row>
    <row r="254" spans="1:8">
      <c r="A254" t="str">
        <f>"eguevara"</f>
        <v>eguevara</v>
      </c>
      <c r="B254" t="str">
        <f t="shared" si="61"/>
        <v>U_ACT</v>
      </c>
      <c r="C254" t="s">
        <v>142</v>
      </c>
      <c r="D254" t="str">
        <f>"HiXTgIMCMLhaZrJs1ZEtQ5p1IdXgRhSxDne4bQf38/U="</f>
        <v>HiXTgIMCMLhaZrJs1ZEtQ5p1IdXgRhSxDne4bQf38/U=</v>
      </c>
      <c r="E254" t="str">
        <f t="shared" si="62"/>
        <v>N</v>
      </c>
      <c r="F254" t="str">
        <f t="shared" si="58"/>
        <v>N</v>
      </c>
      <c r="G254" t="str">
        <f t="shared" si="63"/>
        <v>Y</v>
      </c>
      <c r="H254" t="str">
        <f t="shared" si="64"/>
        <v>Y</v>
      </c>
    </row>
    <row r="255" spans="1:8">
      <c r="A255" t="str">
        <f>"jasilva"</f>
        <v>jasilva</v>
      </c>
      <c r="B255" t="str">
        <f t="shared" si="61"/>
        <v>U_ACT</v>
      </c>
      <c r="C255" t="s">
        <v>143</v>
      </c>
      <c r="D255" t="str">
        <f>"QSAZD18Cxe7Cnc9OiSWbq1fteuRS01jzuabY5Xc2oDU="</f>
        <v>QSAZD18Cxe7Cnc9OiSWbq1fteuRS01jzuabY5Xc2oDU=</v>
      </c>
      <c r="E255" t="str">
        <f t="shared" si="62"/>
        <v>N</v>
      </c>
      <c r="F255" t="str">
        <f t="shared" si="58"/>
        <v>N</v>
      </c>
      <c r="G255" t="str">
        <f t="shared" si="63"/>
        <v>Y</v>
      </c>
      <c r="H255" t="str">
        <f t="shared" si="64"/>
        <v>Y</v>
      </c>
    </row>
    <row r="256" spans="1:8">
      <c r="A256" t="str">
        <f>"caramirez"</f>
        <v>caramirez</v>
      </c>
      <c r="B256" t="str">
        <f t="shared" si="61"/>
        <v>U_ACT</v>
      </c>
      <c r="C256" t="s">
        <v>144</v>
      </c>
      <c r="D256" t="str">
        <f>"+G0CGlgGIgN2y1mXyIRUaQJA4tpKFDU82pvB8Ki59pU="</f>
        <v>+G0CGlgGIgN2y1mXyIRUaQJA4tpKFDU82pvB8Ki59pU=</v>
      </c>
      <c r="E256" t="str">
        <f>"Y"</f>
        <v>Y</v>
      </c>
      <c r="F256" t="str">
        <f t="shared" si="58"/>
        <v>N</v>
      </c>
      <c r="G256" t="str">
        <f>"N"</f>
        <v>N</v>
      </c>
      <c r="H256" t="str">
        <f t="shared" si="64"/>
        <v>Y</v>
      </c>
    </row>
    <row r="257" spans="1:8">
      <c r="A257" t="str">
        <f>"jlvaldiosera"</f>
        <v>jlvaldiosera</v>
      </c>
      <c r="B257" t="str">
        <f t="shared" si="61"/>
        <v>U_ACT</v>
      </c>
      <c r="C257" t="s">
        <v>145</v>
      </c>
      <c r="D257" t="str">
        <f>"3HWtBwvc3nMlJSHEOXFg0kSLfZ78ZQX+ev2QcwkFZS4="</f>
        <v>3HWtBwvc3nMlJSHEOXFg0kSLfZ78ZQX+ev2QcwkFZS4=</v>
      </c>
      <c r="E257" t="str">
        <f>"Y"</f>
        <v>Y</v>
      </c>
      <c r="F257" t="str">
        <f t="shared" si="58"/>
        <v>N</v>
      </c>
      <c r="G257" t="str">
        <f>"Y"</f>
        <v>Y</v>
      </c>
      <c r="H257" t="str">
        <f t="shared" si="64"/>
        <v>Y</v>
      </c>
    </row>
    <row r="258" spans="1:8">
      <c r="A258" t="str">
        <f>"dmorales"</f>
        <v>dmorales</v>
      </c>
      <c r="B258" t="str">
        <f t="shared" si="61"/>
        <v>U_ACT</v>
      </c>
      <c r="C258" t="str">
        <f>"Morales Diana"</f>
        <v>Morales Diana</v>
      </c>
      <c r="D258" t="str">
        <f>"noPasswd"</f>
        <v>noPasswd</v>
      </c>
      <c r="E258" t="str">
        <f>"N"</f>
        <v>N</v>
      </c>
      <c r="F258" t="str">
        <f>"Y"</f>
        <v>Y</v>
      </c>
      <c r="G258" t="str">
        <f>"Y"</f>
        <v>Y</v>
      </c>
      <c r="H258" t="str">
        <f>"N"</f>
        <v>N</v>
      </c>
    </row>
    <row r="259" spans="1:8">
      <c r="A259" t="str">
        <f>"dmmorales"</f>
        <v>dmmorales</v>
      </c>
      <c r="B259" t="str">
        <f t="shared" si="61"/>
        <v>U_ACT</v>
      </c>
      <c r="C259" t="s">
        <v>146</v>
      </c>
      <c r="D259" t="str">
        <f>"ZAtW4Vvl3+noZOh+EtT2WfmWzexGek/MAKLHaaa4kTg="</f>
        <v>ZAtW4Vvl3+noZOh+EtT2WfmWzexGek/MAKLHaaa4kTg=</v>
      </c>
      <c r="E259" t="str">
        <f>"N"</f>
        <v>N</v>
      </c>
      <c r="F259" t="str">
        <f>"Y"</f>
        <v>Y</v>
      </c>
      <c r="G259" t="str">
        <f>"Y"</f>
        <v>Y</v>
      </c>
      <c r="H259" t="str">
        <f>"N"</f>
        <v>N</v>
      </c>
    </row>
    <row r="260" spans="1:8">
      <c r="A260" t="str">
        <f>"jigarcia"</f>
        <v>jigarcia</v>
      </c>
      <c r="B260" t="str">
        <f>"U_BLO"</f>
        <v>U_BLO</v>
      </c>
      <c r="C260" t="s">
        <v>147</v>
      </c>
      <c r="D260" t="str">
        <f>"nePhO6czKT+DnSbeGkAEXpMe3Yo6IAcULDyuNK3KH1M="</f>
        <v>nePhO6czKT+DnSbeGkAEXpMe3Yo6IAcULDyuNK3KH1M=</v>
      </c>
      <c r="E260" t="str">
        <f>"N"</f>
        <v>N</v>
      </c>
      <c r="F260" t="str">
        <f>"N"</f>
        <v>N</v>
      </c>
      <c r="G260" t="str">
        <f>"N"</f>
        <v>N</v>
      </c>
      <c r="H260" t="str">
        <f>"Y"</f>
        <v>Y</v>
      </c>
    </row>
    <row r="261" spans="1:8">
      <c r="A261" t="str">
        <f>"JVAZQUEZ"</f>
        <v>JVAZQUEZ</v>
      </c>
      <c r="B261" t="str">
        <f>"U_BLO"</f>
        <v>U_BLO</v>
      </c>
      <c r="C261" t="str">
        <f>"Vazquez Jonathan"</f>
        <v>Vazquez Jonathan</v>
      </c>
      <c r="D261" t="str">
        <f>"Pi/URcMXdF9mcwXzLHrE0fR7hzpFHhLT7qiBF7X3+gk="</f>
        <v>Pi/URcMXdF9mcwXzLHrE0fR7hzpFHhLT7qiBF7X3+gk=</v>
      </c>
      <c r="E261" t="str">
        <f>"N"</f>
        <v>N</v>
      </c>
      <c r="F261" t="str">
        <f>"N"</f>
        <v>N</v>
      </c>
      <c r="G261" t="str">
        <f>"N"</f>
        <v>N</v>
      </c>
      <c r="H261" t="str">
        <f>"Y"</f>
        <v>Y</v>
      </c>
    </row>
    <row r="262" spans="1:8">
      <c r="A262" t="str">
        <f>"obed.espinoza"</f>
        <v>obed.espinoza</v>
      </c>
      <c r="B262" t="str">
        <f>"U_ACT"</f>
        <v>U_ACT</v>
      </c>
      <c r="C262" t="s">
        <v>148</v>
      </c>
      <c r="D262" t="str">
        <f>"+G0CGlgGIgN2y1mXyIRUaQJA4tpKFDU82pvB8Ki59pU="</f>
        <v>+G0CGlgGIgN2y1mXyIRUaQJA4tpKFDU82pvB8Ki59pU=</v>
      </c>
      <c r="E262" t="str">
        <f>"N"</f>
        <v>N</v>
      </c>
      <c r="F262" t="str">
        <f>"N"</f>
        <v>N</v>
      </c>
      <c r="G262" t="str">
        <f>"Y"</f>
        <v>Y</v>
      </c>
      <c r="H262" t="str">
        <f>"N"</f>
        <v>N</v>
      </c>
    </row>
    <row r="263" spans="1:8">
      <c r="A263" t="str">
        <f>"miriam.garcia"</f>
        <v>miriam.garcia</v>
      </c>
      <c r="B263" t="str">
        <f>"U_ACT"</f>
        <v>U_ACT</v>
      </c>
      <c r="C263" t="s">
        <v>149</v>
      </c>
      <c r="D263" t="str">
        <f>"L/lVYP8vm04H4wtjVbk8W8HOxi+rOBNuddMO/DRWSRQ="</f>
        <v>L/lVYP8vm04H4wtjVbk8W8HOxi+rOBNuddMO/DRWSRQ=</v>
      </c>
      <c r="E263" t="str">
        <f>"Y"</f>
        <v>Y</v>
      </c>
      <c r="F263" t="str">
        <f>"N"</f>
        <v>N</v>
      </c>
      <c r="G263" t="str">
        <f>"N"</f>
        <v>N</v>
      </c>
      <c r="H263" t="str">
        <f>"Y"</f>
        <v>Y</v>
      </c>
    </row>
    <row r="264" spans="1:8">
      <c r="A264" t="str">
        <f>"abdiel.rodriguez"</f>
        <v>abdiel.rodriguez</v>
      </c>
      <c r="B264" t="str">
        <f>"U_BLO"</f>
        <v>U_BLO</v>
      </c>
      <c r="C264" t="s">
        <v>150</v>
      </c>
      <c r="D264" t="str">
        <f>"PuIEKK4g/YRq6H6YkqxXuwGgBpkRcla71c54MnRShLk="</f>
        <v>PuIEKK4g/YRq6H6YkqxXuwGgBpkRcla71c54MnRShLk=</v>
      </c>
      <c r="E264" t="str">
        <f>"N"</f>
        <v>N</v>
      </c>
      <c r="F264" t="str">
        <f>"N"</f>
        <v>N</v>
      </c>
      <c r="G264" t="str">
        <f>"N"</f>
        <v>N</v>
      </c>
      <c r="H264" t="str">
        <f>"N"</f>
        <v>N</v>
      </c>
    </row>
    <row r="265" spans="1:8">
      <c r="A265" t="str">
        <f>"victor.galdamez"</f>
        <v>victor.galdamez</v>
      </c>
      <c r="B265" t="str">
        <f>"U_ACT"</f>
        <v>U_ACT</v>
      </c>
      <c r="C265" t="str">
        <f>"Victor Galdamez"</f>
        <v>Victor Galdamez</v>
      </c>
      <c r="D265" t="str">
        <f>"+G0CGlgGIgN2y1mXyIRUaQJA4tpKFDU82pvB8Ki59pU="</f>
        <v>+G0CGlgGIgN2y1mXyIRUaQJA4tpKFDU82pvB8Ki59pU=</v>
      </c>
      <c r="E265" t="str">
        <f>"Y"</f>
        <v>Y</v>
      </c>
      <c r="F265" t="str">
        <f>"N"</f>
        <v>N</v>
      </c>
      <c r="G265" t="str">
        <f>"Y"</f>
        <v>Y</v>
      </c>
      <c r="H265" t="str">
        <f>"N"</f>
        <v>N</v>
      </c>
    </row>
    <row r="266" spans="1:8">
      <c r="A266" t="str">
        <f>"asbel.perez"</f>
        <v>asbel.perez</v>
      </c>
      <c r="B266" t="str">
        <f>"U_ACT"</f>
        <v>U_ACT</v>
      </c>
      <c r="C266" t="str">
        <f>"Asbel Perez"</f>
        <v>Asbel Perez</v>
      </c>
      <c r="D266" t="str">
        <f>"+G0CGlgGIgN2y1mXyIRUaQJA4tpKFDU82pvB8Ki59pU="</f>
        <v>+G0CGlgGIgN2y1mXyIRUaQJA4tpKFDU82pvB8Ki59pU=</v>
      </c>
      <c r="E266" t="str">
        <f>"N"</f>
        <v>N</v>
      </c>
      <c r="F266" t="str">
        <f>"N"</f>
        <v>N</v>
      </c>
      <c r="G266" t="str">
        <f>"Y"</f>
        <v>Y</v>
      </c>
      <c r="H266" t="str">
        <f>"Y"</f>
        <v>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SQLT0013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Campos</dc:creator>
  <cp:lastModifiedBy>macampos</cp:lastModifiedBy>
  <dcterms:created xsi:type="dcterms:W3CDTF">2014-07-22T04:19:51Z</dcterms:created>
  <dcterms:modified xsi:type="dcterms:W3CDTF">2014-07-22T04:19:51Z</dcterms:modified>
</cp:coreProperties>
</file>