
<file path=[Content_Types].xml><?xml version="1.0" encoding="utf-8"?>
<Types xmlns="http://schemas.openxmlformats.org/package/2006/content-type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chartsheets/sheet1.xml" ContentType="application/vnd.openxmlformats-officedocument.spreadsheetml.chart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chartsheets/sheet2.xml" ContentType="application/vnd.openxmlformats-officedocument.spreadsheetml.chart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xml"/>
  <Override PartName="/xl/drawings/drawing4.xml" ContentType="application/vnd.openxmlformats-officedocument.drawing+xml"/>
  <Override PartName="/xl/charts/chart2.xml" ContentType="application/vnd.openxmlformats-officedocument.drawingml.chart+xml"/>
  <Override PartName="/xl/drawings/drawing5.xml" ContentType="application/vnd.openxmlformats-officedocument.drawing+xml"/>
  <Override PartName="/xl/comments2.xml" ContentType="application/vnd.openxmlformats-officedocument.spreadsheetml.comments+xml"/>
  <Override PartName="/xl/drawings/drawing6.xml" ContentType="application/vnd.openxmlformats-officedocument.drawing+xml"/>
  <Override PartName="/xl/charts/chart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autoCompressPictures="0"/>
  <mc:AlternateContent xmlns:mc="http://schemas.openxmlformats.org/markup-compatibility/2006">
    <mc:Choice Requires="x15">
      <x15ac:absPath xmlns:x15ac="http://schemas.microsoft.com/office/spreadsheetml/2010/11/ac" url="W:\Desktop\Proyectos\rating_curve\Data\Sheets\"/>
    </mc:Choice>
  </mc:AlternateContent>
  <bookViews>
    <workbookView xWindow="0" yWindow="465" windowWidth="28800" windowHeight="17460"/>
  </bookViews>
  <sheets>
    <sheet name="Cálculo Aforo" sheetId="10" r:id="rId1"/>
    <sheet name="Gráfico Perfil Canal" sheetId="7" r:id="rId2"/>
    <sheet name="Hidráulica" sheetId="17" r:id="rId3"/>
    <sheet name="Archivos exportables a AutoCAD" sheetId="16" r:id="rId4"/>
    <sheet name="Tabla de cálculo" sheetId="15" r:id="rId5"/>
    <sheet name="Acta de terreno" sheetId="14" r:id="rId6"/>
    <sheet name="Cálculo Aforo - Simplificado" sheetId="13" r:id="rId7"/>
    <sheet name="Gráfico Perfil Canal - (A.Simp)" sheetId="12" r:id="rId8"/>
  </sheets>
  <definedNames>
    <definedName name="_xlnm._FilterDatabase" localSheetId="5" hidden="1">'Acta de terreno'!$B$17:$B$41</definedName>
    <definedName name="_xlnm._FilterDatabase" localSheetId="4" hidden="1">'Tabla de cálculo'!$B$4:$B$55</definedName>
    <definedName name="Base" localSheetId="0">OFFSET('Cálculo Aforo'!$L$28,0,0,COUNT('Cálculo Aforo'!$L:$L),1)</definedName>
    <definedName name="Base" localSheetId="6">OFFSET('Cálculo Aforo - Simplificado'!$L$25,0,0,COUNT('Cálculo Aforo - Simplificado'!$L:$L),1)</definedName>
    <definedName name="Base">OFFSET(#REF!,0,0,COUNT(#REF!),1)</definedName>
    <definedName name="L_Acumulado" localSheetId="0">OFFSET('Cálculo Aforo'!$J$28,0,0,COUNT('Cálculo Aforo'!$J:$J),1)</definedName>
    <definedName name="L_Acumulado" localSheetId="6">OFFSET('Cálculo Aforo - Simplificado'!$J$25,0,0,COUNT('Cálculo Aforo - Simplificado'!$J:$J),1)</definedName>
    <definedName name="L_Acumulado">OFFSET(#REF!,0,0,COUNT(#REF!),1)</definedName>
    <definedName name="Lamina" localSheetId="0">OFFSET('Cálculo Aforo'!$K$28,0,0,COUNT('Cálculo Aforo'!$K:$K),1)</definedName>
    <definedName name="Lamina" localSheetId="6">OFFSET('Cálculo Aforo - Simplificado'!$K$25,0,0,COUNT('Cálculo Aforo - Simplificado'!$K:$K),1)</definedName>
    <definedName name="Lamina">OFFSET(#REF!,0,0,COUNT(#REF!),1)</definedName>
    <definedName name="Tipo_molinete">'Cálculo Aforo'!$X$5:$X$7</definedName>
  </definedName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C20" i="13" l="1"/>
  <c r="C59" i="13"/>
  <c r="D59" i="13"/>
  <c r="J57" i="13"/>
  <c r="C57" i="13"/>
  <c r="D57" i="13"/>
  <c r="J55" i="13"/>
  <c r="C55" i="13"/>
  <c r="D55" i="13"/>
  <c r="J53" i="13"/>
  <c r="C53" i="13"/>
  <c r="D53" i="13"/>
  <c r="J51" i="13"/>
  <c r="C51" i="13"/>
  <c r="D51" i="13"/>
  <c r="J49" i="13"/>
  <c r="C49" i="13"/>
  <c r="D49" i="13"/>
  <c r="J47" i="13"/>
  <c r="C21" i="13"/>
  <c r="C47" i="13"/>
  <c r="C27" i="13"/>
  <c r="C29" i="13"/>
  <c r="C31" i="13"/>
  <c r="C33" i="13"/>
  <c r="C35" i="13"/>
  <c r="C37" i="13"/>
  <c r="C39" i="13"/>
  <c r="C41" i="13"/>
  <c r="C43" i="13"/>
  <c r="C45" i="13"/>
  <c r="D47" i="13"/>
  <c r="D45" i="13"/>
  <c r="D43" i="13"/>
  <c r="J45" i="13"/>
  <c r="D41" i="13"/>
  <c r="J43" i="13"/>
  <c r="D39" i="13"/>
  <c r="J41" i="13"/>
  <c r="D37" i="13"/>
  <c r="J39" i="13"/>
  <c r="D35" i="13"/>
  <c r="J37" i="13"/>
  <c r="D33" i="13"/>
  <c r="J35" i="13"/>
  <c r="D31" i="13"/>
  <c r="J33" i="13"/>
  <c r="C23" i="10"/>
  <c r="C24" i="10"/>
  <c r="C48" i="10"/>
  <c r="C30" i="10"/>
  <c r="C32" i="10"/>
  <c r="C34" i="10"/>
  <c r="C36" i="10"/>
  <c r="C38" i="10"/>
  <c r="C40" i="10"/>
  <c r="C42" i="10"/>
  <c r="C44" i="10"/>
  <c r="C46" i="10"/>
  <c r="D48" i="10"/>
  <c r="D46" i="10"/>
  <c r="D44" i="10"/>
  <c r="J46" i="10"/>
  <c r="D42" i="10"/>
  <c r="J44" i="10"/>
  <c r="D40" i="10"/>
  <c r="J42" i="10"/>
  <c r="D36" i="10"/>
  <c r="D34" i="10"/>
  <c r="D32" i="10"/>
  <c r="J34" i="10"/>
  <c r="D30" i="10"/>
  <c r="J30" i="10"/>
  <c r="J32" i="10"/>
  <c r="D38" i="10"/>
  <c r="J36" i="10"/>
  <c r="J38" i="10"/>
  <c r="J40" i="10"/>
  <c r="F5" i="14"/>
  <c r="C61" i="15"/>
  <c r="D61" i="15"/>
  <c r="E61" i="15"/>
  <c r="F61" i="15"/>
  <c r="G61" i="15"/>
  <c r="H61" i="15"/>
  <c r="I61" i="15"/>
  <c r="J61" i="15"/>
  <c r="K61" i="15"/>
  <c r="C62" i="15"/>
  <c r="D62" i="15"/>
  <c r="E62" i="15"/>
  <c r="F62" i="15"/>
  <c r="G62" i="15"/>
  <c r="H62" i="15"/>
  <c r="I62" i="15"/>
  <c r="J62" i="15"/>
  <c r="K62" i="15"/>
  <c r="C63" i="15"/>
  <c r="D63" i="15"/>
  <c r="E63" i="15"/>
  <c r="F63" i="15"/>
  <c r="G63" i="15"/>
  <c r="H63" i="15"/>
  <c r="I63" i="15"/>
  <c r="J63" i="15"/>
  <c r="K63" i="15"/>
  <c r="C64" i="15"/>
  <c r="D64" i="15"/>
  <c r="E64" i="15"/>
  <c r="F64" i="15"/>
  <c r="G64" i="15"/>
  <c r="H64" i="15"/>
  <c r="I64" i="15"/>
  <c r="J64" i="15"/>
  <c r="K64" i="15"/>
  <c r="C65" i="15"/>
  <c r="D65" i="15"/>
  <c r="E65" i="15"/>
  <c r="F65" i="15"/>
  <c r="G65" i="15"/>
  <c r="H65" i="15"/>
  <c r="I65" i="15"/>
  <c r="J65" i="15"/>
  <c r="K65" i="15"/>
  <c r="C66" i="15"/>
  <c r="D66" i="15"/>
  <c r="E66" i="15"/>
  <c r="F66" i="15"/>
  <c r="G66" i="15"/>
  <c r="H66" i="15"/>
  <c r="I66" i="15"/>
  <c r="J66" i="15"/>
  <c r="K66" i="15"/>
  <c r="C67" i="15"/>
  <c r="D67" i="15"/>
  <c r="E67" i="15"/>
  <c r="F67" i="15"/>
  <c r="G67" i="15"/>
  <c r="H67" i="15"/>
  <c r="I67" i="15"/>
  <c r="J67" i="15"/>
  <c r="K67" i="15"/>
  <c r="C68" i="15"/>
  <c r="D68" i="15"/>
  <c r="E68" i="15"/>
  <c r="F68" i="15"/>
  <c r="G68" i="15"/>
  <c r="H68" i="15"/>
  <c r="I68" i="15"/>
  <c r="J68" i="15"/>
  <c r="K68" i="15"/>
  <c r="C69" i="15"/>
  <c r="D69" i="15"/>
  <c r="E69" i="15"/>
  <c r="F69" i="15"/>
  <c r="G69" i="15"/>
  <c r="H69" i="15"/>
  <c r="I69" i="15"/>
  <c r="J69" i="15"/>
  <c r="K69" i="15"/>
  <c r="C70" i="15"/>
  <c r="D70" i="15"/>
  <c r="E70" i="15"/>
  <c r="F70" i="15"/>
  <c r="G70" i="15"/>
  <c r="H70" i="15"/>
  <c r="I70" i="15"/>
  <c r="J70" i="15"/>
  <c r="K70" i="15"/>
  <c r="C71" i="15"/>
  <c r="D71" i="15"/>
  <c r="E71" i="15"/>
  <c r="F71" i="15"/>
  <c r="G71" i="15"/>
  <c r="H71" i="15"/>
  <c r="I71" i="15"/>
  <c r="J71" i="15"/>
  <c r="K71" i="15"/>
  <c r="C72" i="15"/>
  <c r="D72" i="15"/>
  <c r="E72" i="15"/>
  <c r="F72" i="15"/>
  <c r="G72" i="15"/>
  <c r="H72" i="15"/>
  <c r="I72" i="15"/>
  <c r="J72" i="15"/>
  <c r="K72" i="15"/>
  <c r="C73" i="15"/>
  <c r="D73" i="15"/>
  <c r="E73" i="15"/>
  <c r="F73" i="15"/>
  <c r="G73" i="15"/>
  <c r="H73" i="15"/>
  <c r="I73" i="15"/>
  <c r="J73" i="15"/>
  <c r="K73" i="15"/>
  <c r="C74" i="15"/>
  <c r="D74" i="15"/>
  <c r="E74" i="15"/>
  <c r="F74" i="15"/>
  <c r="G74" i="15"/>
  <c r="H74" i="15"/>
  <c r="I74" i="15"/>
  <c r="J74" i="15"/>
  <c r="K74" i="15"/>
  <c r="C75" i="15"/>
  <c r="D75" i="15"/>
  <c r="E75" i="15"/>
  <c r="F75" i="15"/>
  <c r="G75" i="15"/>
  <c r="H75" i="15"/>
  <c r="I75" i="15"/>
  <c r="J75" i="15"/>
  <c r="K75" i="15"/>
  <c r="C76" i="15"/>
  <c r="D76" i="15"/>
  <c r="E76" i="15"/>
  <c r="F76" i="15"/>
  <c r="G76" i="15"/>
  <c r="H76" i="15"/>
  <c r="I76" i="15"/>
  <c r="J76" i="15"/>
  <c r="K76" i="15"/>
  <c r="I13" i="17"/>
  <c r="B4" i="17"/>
  <c r="A4" i="17"/>
  <c r="B5" i="17"/>
  <c r="A5" i="17"/>
  <c r="C5" i="17"/>
  <c r="B4" i="16"/>
  <c r="A4" i="16"/>
  <c r="B5" i="16"/>
  <c r="F4" i="16"/>
  <c r="G4" i="16"/>
  <c r="K4" i="16"/>
  <c r="Q4" i="16"/>
  <c r="D4" i="16"/>
  <c r="E4" i="16"/>
  <c r="J4" i="16"/>
  <c r="C4" i="16"/>
  <c r="A5" i="16"/>
  <c r="M4" i="16"/>
  <c r="S4" i="16"/>
  <c r="P4" i="16"/>
  <c r="L4" i="16"/>
  <c r="R4" i="16"/>
  <c r="F5" i="16"/>
  <c r="G5" i="16"/>
  <c r="K5" i="16"/>
  <c r="Q5" i="16"/>
  <c r="D5" i="16"/>
  <c r="E5" i="16"/>
  <c r="J5" i="16"/>
  <c r="C5" i="16"/>
  <c r="AF32" i="10"/>
  <c r="AT29" i="10"/>
  <c r="AG32" i="10"/>
  <c r="I8" i="15"/>
  <c r="AH32" i="10"/>
  <c r="J8" i="15"/>
  <c r="AF34" i="10"/>
  <c r="AU29" i="10"/>
  <c r="AG34" i="10"/>
  <c r="AU33" i="10"/>
  <c r="I11" i="15"/>
  <c r="AH34" i="10"/>
  <c r="J11" i="15"/>
  <c r="AF36" i="10"/>
  <c r="H14" i="15"/>
  <c r="AG36" i="10"/>
  <c r="I14" i="15"/>
  <c r="AH36" i="10"/>
  <c r="J14" i="15"/>
  <c r="AF38" i="10"/>
  <c r="H17" i="15"/>
  <c r="AG38" i="10"/>
  <c r="AW33" i="10"/>
  <c r="AH38" i="10"/>
  <c r="J17" i="15"/>
  <c r="AF40" i="10"/>
  <c r="H20" i="15"/>
  <c r="AG40" i="10"/>
  <c r="I20" i="15"/>
  <c r="AH40" i="10"/>
  <c r="J20" i="15"/>
  <c r="AF42" i="10"/>
  <c r="H23" i="15"/>
  <c r="AG42" i="10"/>
  <c r="I23" i="15"/>
  <c r="AH42" i="10"/>
  <c r="J23" i="15"/>
  <c r="AF44" i="10"/>
  <c r="H26" i="15"/>
  <c r="AG44" i="10"/>
  <c r="AZ33" i="10"/>
  <c r="AH44" i="10"/>
  <c r="J26" i="15"/>
  <c r="AF46" i="10"/>
  <c r="H29" i="15"/>
  <c r="AG46" i="10"/>
  <c r="BA33" i="10"/>
  <c r="AH46" i="10"/>
  <c r="J29" i="15"/>
  <c r="AF48" i="10"/>
  <c r="H32" i="15"/>
  <c r="AG48" i="10"/>
  <c r="I32" i="15"/>
  <c r="AH48" i="10"/>
  <c r="J32" i="15"/>
  <c r="AF50" i="10"/>
  <c r="BC29" i="10"/>
  <c r="AG50" i="10"/>
  <c r="I35" i="15"/>
  <c r="AH50" i="10"/>
  <c r="J35" i="15"/>
  <c r="AF52" i="10"/>
  <c r="H38" i="15"/>
  <c r="AG52" i="10"/>
  <c r="I38" i="15"/>
  <c r="AH52" i="10"/>
  <c r="J38" i="15"/>
  <c r="AF54" i="10"/>
  <c r="H41" i="15"/>
  <c r="AG54" i="10"/>
  <c r="I41" i="15"/>
  <c r="AH54" i="10"/>
  <c r="J41" i="15"/>
  <c r="AF56" i="10"/>
  <c r="H44" i="15"/>
  <c r="AG56" i="10"/>
  <c r="I44" i="15"/>
  <c r="AH56" i="10"/>
  <c r="J44" i="15"/>
  <c r="AF58" i="10"/>
  <c r="H47" i="15"/>
  <c r="AG58" i="10"/>
  <c r="I47" i="15"/>
  <c r="AH58" i="10"/>
  <c r="J47" i="15"/>
  <c r="AF60" i="10"/>
  <c r="BH29" i="10"/>
  <c r="AG60" i="10"/>
  <c r="BH33" i="10"/>
  <c r="AH60" i="10"/>
  <c r="J50" i="15"/>
  <c r="AH30" i="10"/>
  <c r="J5" i="15"/>
  <c r="AG30" i="10"/>
  <c r="AS33" i="10"/>
  <c r="AF30" i="10"/>
  <c r="AS29" i="10"/>
  <c r="D8" i="15"/>
  <c r="D11" i="15"/>
  <c r="D14" i="15"/>
  <c r="D17" i="15"/>
  <c r="D20" i="15"/>
  <c r="D23" i="15"/>
  <c r="D26" i="15"/>
  <c r="D29" i="15"/>
  <c r="D32" i="15"/>
  <c r="D35" i="15"/>
  <c r="D38" i="15"/>
  <c r="D41" i="15"/>
  <c r="D44" i="15"/>
  <c r="D47" i="15"/>
  <c r="D50" i="15"/>
  <c r="D5" i="15"/>
  <c r="G52" i="15"/>
  <c r="F52" i="15"/>
  <c r="E52" i="15"/>
  <c r="G49" i="15"/>
  <c r="F49" i="15"/>
  <c r="E49" i="15"/>
  <c r="G51" i="15"/>
  <c r="F51" i="15"/>
  <c r="E51" i="15"/>
  <c r="G48" i="15"/>
  <c r="F48" i="15"/>
  <c r="E48" i="15"/>
  <c r="G50" i="15"/>
  <c r="F50" i="15"/>
  <c r="E50" i="15"/>
  <c r="G47" i="15"/>
  <c r="F47" i="15"/>
  <c r="E47" i="15"/>
  <c r="G46" i="15"/>
  <c r="F46" i="15"/>
  <c r="E46" i="15"/>
  <c r="G43" i="15"/>
  <c r="F43" i="15"/>
  <c r="E43" i="15"/>
  <c r="G45" i="15"/>
  <c r="F45" i="15"/>
  <c r="E45" i="15"/>
  <c r="G42" i="15"/>
  <c r="F42" i="15"/>
  <c r="E42" i="15"/>
  <c r="G44" i="15"/>
  <c r="F44" i="15"/>
  <c r="E44" i="15"/>
  <c r="G41" i="15"/>
  <c r="F41" i="15"/>
  <c r="E41" i="15"/>
  <c r="G40" i="15"/>
  <c r="F40" i="15"/>
  <c r="E40" i="15"/>
  <c r="G37" i="15"/>
  <c r="F37" i="15"/>
  <c r="E37" i="15"/>
  <c r="G39" i="15"/>
  <c r="F39" i="15"/>
  <c r="E39" i="15"/>
  <c r="G36" i="15"/>
  <c r="F36" i="15"/>
  <c r="E36" i="15"/>
  <c r="G38" i="15"/>
  <c r="F38" i="15"/>
  <c r="E38" i="15"/>
  <c r="G35" i="15"/>
  <c r="F35" i="15"/>
  <c r="E35" i="15"/>
  <c r="G34" i="15"/>
  <c r="F34" i="15"/>
  <c r="E34" i="15"/>
  <c r="G31" i="15"/>
  <c r="F31" i="15"/>
  <c r="E31" i="15"/>
  <c r="G33" i="15"/>
  <c r="F33" i="15"/>
  <c r="E33" i="15"/>
  <c r="G30" i="15"/>
  <c r="F30" i="15"/>
  <c r="E30" i="15"/>
  <c r="G32" i="15"/>
  <c r="F32" i="15"/>
  <c r="E32" i="15"/>
  <c r="G29" i="15"/>
  <c r="F29" i="15"/>
  <c r="E29" i="15"/>
  <c r="G28" i="15"/>
  <c r="F28" i="15"/>
  <c r="E28" i="15"/>
  <c r="G25" i="15"/>
  <c r="F25" i="15"/>
  <c r="E25" i="15"/>
  <c r="G27" i="15"/>
  <c r="F27" i="15"/>
  <c r="E27" i="15"/>
  <c r="G24" i="15"/>
  <c r="F24" i="15"/>
  <c r="E24" i="15"/>
  <c r="G26" i="15"/>
  <c r="F26" i="15"/>
  <c r="E26" i="15"/>
  <c r="G23" i="15"/>
  <c r="F23" i="15"/>
  <c r="E23" i="15"/>
  <c r="G22" i="15"/>
  <c r="F22" i="15"/>
  <c r="E22" i="15"/>
  <c r="G19" i="15"/>
  <c r="F19" i="15"/>
  <c r="E19" i="15"/>
  <c r="G21" i="15"/>
  <c r="F21" i="15"/>
  <c r="E21" i="15"/>
  <c r="G18" i="15"/>
  <c r="F18" i="15"/>
  <c r="E18" i="15"/>
  <c r="G20" i="15"/>
  <c r="F20" i="15"/>
  <c r="E20" i="15"/>
  <c r="G17" i="15"/>
  <c r="F17" i="15"/>
  <c r="E17" i="15"/>
  <c r="G16" i="15"/>
  <c r="F16" i="15"/>
  <c r="E16" i="15"/>
  <c r="G13" i="15"/>
  <c r="F13" i="15"/>
  <c r="E13" i="15"/>
  <c r="G15" i="15"/>
  <c r="F15" i="15"/>
  <c r="E15" i="15"/>
  <c r="G12" i="15"/>
  <c r="F12" i="15"/>
  <c r="E12" i="15"/>
  <c r="G14" i="15"/>
  <c r="F14" i="15"/>
  <c r="E14" i="15"/>
  <c r="G11" i="15"/>
  <c r="F11" i="15"/>
  <c r="E11" i="15"/>
  <c r="G10" i="15"/>
  <c r="F10" i="15"/>
  <c r="E10" i="15"/>
  <c r="G7" i="15"/>
  <c r="F7" i="15"/>
  <c r="E7" i="15"/>
  <c r="G9" i="15"/>
  <c r="F9" i="15"/>
  <c r="E9" i="15"/>
  <c r="G6" i="15"/>
  <c r="F6" i="15"/>
  <c r="E6" i="15"/>
  <c r="G8" i="15"/>
  <c r="F8" i="15"/>
  <c r="E8" i="15"/>
  <c r="G5" i="15"/>
  <c r="F5" i="15"/>
  <c r="E5" i="15"/>
  <c r="E10" i="14"/>
  <c r="E9" i="14"/>
  <c r="E8" i="14"/>
  <c r="C6" i="14"/>
  <c r="C7" i="14"/>
  <c r="E5" i="14"/>
  <c r="E4" i="14"/>
  <c r="C3" i="14"/>
  <c r="J69" i="14"/>
  <c r="T41" i="14"/>
  <c r="I69" i="14"/>
  <c r="T40" i="14"/>
  <c r="H69" i="14"/>
  <c r="T39" i="14"/>
  <c r="J67" i="14"/>
  <c r="T38" i="14"/>
  <c r="I67" i="14"/>
  <c r="T37" i="14"/>
  <c r="H67" i="14"/>
  <c r="T36" i="14"/>
  <c r="J65" i="14"/>
  <c r="T35" i="14"/>
  <c r="I65" i="14"/>
  <c r="T34" i="14"/>
  <c r="H65" i="14"/>
  <c r="T33" i="14"/>
  <c r="J63" i="14"/>
  <c r="T32" i="14"/>
  <c r="I63" i="14"/>
  <c r="T31" i="14"/>
  <c r="H63" i="14"/>
  <c r="T30" i="14"/>
  <c r="J61" i="14"/>
  <c r="T29" i="14"/>
  <c r="I61" i="14"/>
  <c r="T28" i="14"/>
  <c r="H61" i="14"/>
  <c r="T27" i="14"/>
  <c r="J59" i="14"/>
  <c r="T26" i="14"/>
  <c r="I59" i="14"/>
  <c r="T25" i="14"/>
  <c r="H59" i="14"/>
  <c r="T24" i="14"/>
  <c r="J57" i="14"/>
  <c r="T23" i="14"/>
  <c r="I57" i="14"/>
  <c r="T22" i="14"/>
  <c r="H57" i="14"/>
  <c r="T21" i="14"/>
  <c r="J55" i="14"/>
  <c r="T20" i="14"/>
  <c r="I55" i="14"/>
  <c r="T19" i="14"/>
  <c r="H55" i="14"/>
  <c r="T18" i="14"/>
  <c r="J68" i="14"/>
  <c r="J41" i="14"/>
  <c r="I68" i="14"/>
  <c r="J40" i="14"/>
  <c r="H68" i="14"/>
  <c r="J39" i="14"/>
  <c r="J66" i="14"/>
  <c r="J38" i="14"/>
  <c r="I66" i="14"/>
  <c r="J37" i="14"/>
  <c r="H66" i="14"/>
  <c r="J36" i="14"/>
  <c r="J64" i="14"/>
  <c r="J35" i="14"/>
  <c r="I64" i="14"/>
  <c r="J34" i="14"/>
  <c r="H64" i="14"/>
  <c r="J33" i="14"/>
  <c r="J62" i="14"/>
  <c r="J32" i="14"/>
  <c r="I62" i="14"/>
  <c r="J31" i="14"/>
  <c r="H62" i="14"/>
  <c r="J30" i="14"/>
  <c r="J60" i="14"/>
  <c r="J29" i="14"/>
  <c r="I60" i="14"/>
  <c r="J28" i="14"/>
  <c r="H60" i="14"/>
  <c r="J27" i="14"/>
  <c r="J58" i="14"/>
  <c r="J26" i="14"/>
  <c r="I58" i="14"/>
  <c r="J25" i="14"/>
  <c r="H58" i="14"/>
  <c r="J24" i="14"/>
  <c r="J56" i="14"/>
  <c r="J23" i="14"/>
  <c r="I56" i="14"/>
  <c r="J22" i="14"/>
  <c r="H56" i="14"/>
  <c r="J21" i="14"/>
  <c r="J54" i="14"/>
  <c r="J20" i="14"/>
  <c r="I54" i="14"/>
  <c r="J19" i="14"/>
  <c r="H54" i="14"/>
  <c r="J18" i="14"/>
  <c r="G69" i="14"/>
  <c r="S41" i="14"/>
  <c r="F69" i="14"/>
  <c r="S40" i="14"/>
  <c r="E69" i="14"/>
  <c r="S39" i="14"/>
  <c r="G67" i="14"/>
  <c r="S38" i="14"/>
  <c r="F67" i="14"/>
  <c r="S37" i="14"/>
  <c r="E67" i="14"/>
  <c r="S36" i="14"/>
  <c r="G65" i="14"/>
  <c r="S35" i="14"/>
  <c r="F65" i="14"/>
  <c r="S34" i="14"/>
  <c r="E65" i="14"/>
  <c r="S33" i="14"/>
  <c r="G63" i="14"/>
  <c r="S32" i="14"/>
  <c r="F63" i="14"/>
  <c r="S31" i="14"/>
  <c r="E63" i="14"/>
  <c r="S30" i="14"/>
  <c r="G61" i="14"/>
  <c r="S29" i="14"/>
  <c r="F61" i="14"/>
  <c r="S28" i="14"/>
  <c r="E61" i="14"/>
  <c r="S27" i="14"/>
  <c r="G59" i="14"/>
  <c r="S26" i="14"/>
  <c r="F59" i="14"/>
  <c r="S25" i="14"/>
  <c r="E59" i="14"/>
  <c r="S24" i="14"/>
  <c r="G57" i="14"/>
  <c r="S23" i="14"/>
  <c r="F57" i="14"/>
  <c r="S22" i="14"/>
  <c r="E57" i="14"/>
  <c r="S21" i="14"/>
  <c r="G55" i="14"/>
  <c r="S20" i="14"/>
  <c r="F55" i="14"/>
  <c r="S19" i="14"/>
  <c r="E55" i="14"/>
  <c r="S18" i="14"/>
  <c r="G68" i="14"/>
  <c r="I41" i="14"/>
  <c r="F68" i="14"/>
  <c r="I40" i="14"/>
  <c r="E68" i="14"/>
  <c r="I39" i="14"/>
  <c r="G66" i="14"/>
  <c r="I38" i="14"/>
  <c r="F66" i="14"/>
  <c r="I37" i="14"/>
  <c r="E66" i="14"/>
  <c r="I36" i="14"/>
  <c r="G64" i="14"/>
  <c r="I35" i="14"/>
  <c r="F64" i="14"/>
  <c r="I34" i="14"/>
  <c r="E64" i="14"/>
  <c r="I33" i="14"/>
  <c r="G62" i="14"/>
  <c r="I32" i="14"/>
  <c r="F62" i="14"/>
  <c r="I31" i="14"/>
  <c r="E62" i="14"/>
  <c r="I30" i="14"/>
  <c r="G60" i="14"/>
  <c r="I29" i="14"/>
  <c r="F60" i="14"/>
  <c r="I28" i="14"/>
  <c r="E60" i="14"/>
  <c r="I27" i="14"/>
  <c r="G58" i="14"/>
  <c r="I26" i="14"/>
  <c r="F58" i="14"/>
  <c r="I25" i="14"/>
  <c r="E58" i="14"/>
  <c r="I24" i="14"/>
  <c r="G56" i="14"/>
  <c r="I23" i="14"/>
  <c r="F56" i="14"/>
  <c r="I22" i="14"/>
  <c r="E56" i="14"/>
  <c r="I21" i="14"/>
  <c r="G54" i="14"/>
  <c r="I20" i="14"/>
  <c r="F54" i="14"/>
  <c r="I19" i="14"/>
  <c r="E54" i="14"/>
  <c r="I18" i="14"/>
  <c r="D69" i="14"/>
  <c r="R41" i="14"/>
  <c r="C69" i="14"/>
  <c r="R40" i="14"/>
  <c r="B69" i="14"/>
  <c r="R39" i="14"/>
  <c r="D67" i="14"/>
  <c r="R38" i="14"/>
  <c r="C67" i="14"/>
  <c r="R37" i="14"/>
  <c r="B67" i="14"/>
  <c r="R36" i="14"/>
  <c r="D65" i="14"/>
  <c r="R35" i="14"/>
  <c r="C65" i="14"/>
  <c r="R34" i="14"/>
  <c r="B65" i="14"/>
  <c r="R33" i="14"/>
  <c r="D63" i="14"/>
  <c r="R32" i="14"/>
  <c r="C63" i="14"/>
  <c r="R31" i="14"/>
  <c r="B63" i="14"/>
  <c r="R30" i="14"/>
  <c r="D61" i="14"/>
  <c r="R29" i="14"/>
  <c r="C61" i="14"/>
  <c r="R28" i="14"/>
  <c r="B61" i="14"/>
  <c r="R27" i="14"/>
  <c r="D59" i="14"/>
  <c r="R26" i="14"/>
  <c r="C59" i="14"/>
  <c r="R25" i="14"/>
  <c r="B59" i="14"/>
  <c r="R24" i="14"/>
  <c r="D57" i="14"/>
  <c r="R23" i="14"/>
  <c r="C57" i="14"/>
  <c r="R22" i="14"/>
  <c r="B57" i="14"/>
  <c r="R21" i="14"/>
  <c r="D55" i="14"/>
  <c r="R20" i="14"/>
  <c r="C55" i="14"/>
  <c r="R19" i="14"/>
  <c r="B55" i="14"/>
  <c r="R18" i="14"/>
  <c r="D68" i="14"/>
  <c r="H41" i="14"/>
  <c r="C68" i="14"/>
  <c r="H40" i="14"/>
  <c r="B68" i="14"/>
  <c r="H39" i="14"/>
  <c r="D66" i="14"/>
  <c r="H38" i="14"/>
  <c r="C66" i="14"/>
  <c r="H37" i="14"/>
  <c r="B66" i="14"/>
  <c r="H36" i="14"/>
  <c r="D64" i="14"/>
  <c r="H35" i="14"/>
  <c r="C64" i="14"/>
  <c r="H34" i="14"/>
  <c r="B64" i="14"/>
  <c r="H33" i="14"/>
  <c r="D62" i="14"/>
  <c r="H32" i="14"/>
  <c r="C62" i="14"/>
  <c r="H31" i="14"/>
  <c r="B62" i="14"/>
  <c r="H30" i="14"/>
  <c r="D60" i="14"/>
  <c r="H29" i="14"/>
  <c r="C60" i="14"/>
  <c r="H28" i="14"/>
  <c r="B60" i="14"/>
  <c r="H27" i="14"/>
  <c r="D58" i="14"/>
  <c r="H26" i="14"/>
  <c r="C58" i="14"/>
  <c r="H25" i="14"/>
  <c r="B58" i="14"/>
  <c r="H24" i="14"/>
  <c r="D56" i="14"/>
  <c r="H23" i="14"/>
  <c r="C56" i="14"/>
  <c r="H22" i="14"/>
  <c r="B56" i="14"/>
  <c r="H21" i="14"/>
  <c r="D54" i="14"/>
  <c r="H20" i="14"/>
  <c r="C54" i="14"/>
  <c r="H19" i="14"/>
  <c r="B54" i="14"/>
  <c r="H18" i="14"/>
  <c r="B70" i="14"/>
  <c r="C70" i="14"/>
  <c r="D70" i="14"/>
  <c r="E70" i="14"/>
  <c r="F70" i="14"/>
  <c r="G70" i="14"/>
  <c r="H70" i="14"/>
  <c r="I70" i="14"/>
  <c r="J70" i="14"/>
  <c r="B71" i="14"/>
  <c r="C71" i="14"/>
  <c r="D71" i="14"/>
  <c r="E71" i="14"/>
  <c r="F71" i="14"/>
  <c r="G71" i="14"/>
  <c r="H71" i="14"/>
  <c r="I71" i="14"/>
  <c r="J71" i="14"/>
  <c r="B72" i="14"/>
  <c r="C72" i="14"/>
  <c r="D72" i="14"/>
  <c r="E72" i="14"/>
  <c r="F72" i="14"/>
  <c r="G72" i="14"/>
  <c r="H72" i="14"/>
  <c r="I72" i="14"/>
  <c r="J72" i="14"/>
  <c r="B73" i="14"/>
  <c r="C73" i="14"/>
  <c r="D73" i="14"/>
  <c r="E73" i="14"/>
  <c r="F73" i="14"/>
  <c r="G73" i="14"/>
  <c r="H73" i="14"/>
  <c r="I73" i="14"/>
  <c r="J73" i="14"/>
  <c r="B74" i="14"/>
  <c r="C74" i="14"/>
  <c r="D74" i="14"/>
  <c r="E74" i="14"/>
  <c r="F74" i="14"/>
  <c r="G74" i="14"/>
  <c r="H74" i="14"/>
  <c r="I74" i="14"/>
  <c r="J74" i="14"/>
  <c r="B75" i="14"/>
  <c r="C75" i="14"/>
  <c r="D75" i="14"/>
  <c r="E75" i="14"/>
  <c r="F75" i="14"/>
  <c r="G75" i="14"/>
  <c r="H75" i="14"/>
  <c r="I75" i="14"/>
  <c r="J75" i="14"/>
  <c r="B76" i="14"/>
  <c r="C76" i="14"/>
  <c r="D76" i="14"/>
  <c r="E76" i="14"/>
  <c r="F76" i="14"/>
  <c r="G76" i="14"/>
  <c r="H76" i="14"/>
  <c r="I76" i="14"/>
  <c r="J76" i="14"/>
  <c r="B77" i="14"/>
  <c r="C77" i="14"/>
  <c r="D77" i="14"/>
  <c r="E77" i="14"/>
  <c r="F77" i="14"/>
  <c r="G77" i="14"/>
  <c r="H77" i="14"/>
  <c r="I77" i="14"/>
  <c r="J77" i="14"/>
  <c r="B78" i="14"/>
  <c r="C78" i="14"/>
  <c r="D78" i="14"/>
  <c r="E78" i="14"/>
  <c r="F78" i="14"/>
  <c r="G78" i="14"/>
  <c r="H78" i="14"/>
  <c r="I78" i="14"/>
  <c r="J78" i="14"/>
  <c r="B79" i="14"/>
  <c r="C79" i="14"/>
  <c r="D79" i="14"/>
  <c r="E79" i="14"/>
  <c r="F79" i="14"/>
  <c r="G79" i="14"/>
  <c r="H79" i="14"/>
  <c r="I79" i="14"/>
  <c r="J79" i="14"/>
  <c r="B80" i="14"/>
  <c r="C80" i="14"/>
  <c r="D80" i="14"/>
  <c r="E80" i="14"/>
  <c r="F80" i="14"/>
  <c r="G80" i="14"/>
  <c r="H80" i="14"/>
  <c r="I80" i="14"/>
  <c r="J80" i="14"/>
  <c r="B81" i="14"/>
  <c r="C81" i="14"/>
  <c r="D81" i="14"/>
  <c r="E81" i="14"/>
  <c r="F81" i="14"/>
  <c r="G81" i="14"/>
  <c r="H81" i="14"/>
  <c r="I81" i="14"/>
  <c r="J81" i="14"/>
  <c r="B82" i="14"/>
  <c r="C82" i="14"/>
  <c r="D82" i="14"/>
  <c r="E82" i="14"/>
  <c r="F82" i="14"/>
  <c r="G82" i="14"/>
  <c r="H82" i="14"/>
  <c r="I82" i="14"/>
  <c r="J82" i="14"/>
  <c r="B83" i="14"/>
  <c r="C83" i="14"/>
  <c r="D83" i="14"/>
  <c r="E83" i="14"/>
  <c r="F83" i="14"/>
  <c r="G83" i="14"/>
  <c r="H83" i="14"/>
  <c r="I83" i="14"/>
  <c r="J83" i="14"/>
  <c r="B84" i="14"/>
  <c r="C84" i="14"/>
  <c r="D84" i="14"/>
  <c r="E84" i="14"/>
  <c r="F84" i="14"/>
  <c r="G84" i="14"/>
  <c r="H84" i="14"/>
  <c r="I84" i="14"/>
  <c r="J84" i="14"/>
  <c r="B85" i="14"/>
  <c r="C85" i="14"/>
  <c r="D85" i="14"/>
  <c r="E85" i="14"/>
  <c r="F85" i="14"/>
  <c r="G85" i="14"/>
  <c r="H85" i="14"/>
  <c r="I85" i="14"/>
  <c r="J85" i="14"/>
  <c r="B86" i="14"/>
  <c r="C86" i="14"/>
  <c r="D86" i="14"/>
  <c r="E86" i="14"/>
  <c r="F86" i="14"/>
  <c r="G86" i="14"/>
  <c r="H86" i="14"/>
  <c r="I86" i="14"/>
  <c r="J86" i="14"/>
  <c r="B87" i="14"/>
  <c r="C87" i="14"/>
  <c r="D87" i="14"/>
  <c r="E87" i="14"/>
  <c r="F87" i="14"/>
  <c r="G87" i="14"/>
  <c r="H87" i="14"/>
  <c r="I87" i="14"/>
  <c r="J87" i="14"/>
  <c r="B88" i="14"/>
  <c r="C88" i="14"/>
  <c r="D88" i="14"/>
  <c r="E88" i="14"/>
  <c r="F88" i="14"/>
  <c r="G88" i="14"/>
  <c r="H88" i="14"/>
  <c r="I88" i="14"/>
  <c r="J88" i="14"/>
  <c r="N39" i="14"/>
  <c r="D39" i="14"/>
  <c r="N36" i="14"/>
  <c r="D36" i="14"/>
  <c r="N33" i="14"/>
  <c r="D33" i="14"/>
  <c r="N30" i="14"/>
  <c r="D30" i="14"/>
  <c r="N27" i="14"/>
  <c r="D27" i="14"/>
  <c r="N24" i="14"/>
  <c r="D24" i="14"/>
  <c r="N21" i="14"/>
  <c r="D21" i="14"/>
  <c r="N18" i="14"/>
  <c r="D18" i="14"/>
  <c r="L10" i="14"/>
  <c r="AH57" i="13"/>
  <c r="BH34" i="13"/>
  <c r="AG57" i="13"/>
  <c r="BH30" i="13"/>
  <c r="AF57" i="13"/>
  <c r="BH26" i="13"/>
  <c r="AH55" i="13"/>
  <c r="AG55" i="13"/>
  <c r="BG30" i="13"/>
  <c r="AF55" i="13"/>
  <c r="AH53" i="13"/>
  <c r="AG53" i="13"/>
  <c r="BF30" i="13"/>
  <c r="AF53" i="13"/>
  <c r="BF26" i="13"/>
  <c r="AH51" i="13"/>
  <c r="BE34" i="13"/>
  <c r="AG51" i="13"/>
  <c r="AF51" i="13"/>
  <c r="BE26" i="13"/>
  <c r="AH49" i="13"/>
  <c r="BD34" i="13"/>
  <c r="AG49" i="13"/>
  <c r="BD30" i="13"/>
  <c r="AF49" i="13"/>
  <c r="BD26" i="13"/>
  <c r="AH47" i="13"/>
  <c r="BC34" i="13"/>
  <c r="AG47" i="13"/>
  <c r="BC30" i="13"/>
  <c r="AF47" i="13"/>
  <c r="AH45" i="13"/>
  <c r="AG45" i="13"/>
  <c r="BB30" i="13"/>
  <c r="AF45" i="13"/>
  <c r="BB26" i="13"/>
  <c r="AH43" i="13"/>
  <c r="BA34" i="13"/>
  <c r="AG43" i="13"/>
  <c r="BA30" i="13"/>
  <c r="AF43" i="13"/>
  <c r="AH41" i="13"/>
  <c r="AG41" i="13"/>
  <c r="AZ30" i="13"/>
  <c r="AF41" i="13"/>
  <c r="AZ26" i="13"/>
  <c r="AH39" i="13"/>
  <c r="AY34" i="13"/>
  <c r="AG39" i="13"/>
  <c r="AY30" i="13"/>
  <c r="AF39" i="13"/>
  <c r="AY26" i="13"/>
  <c r="AH37" i="13"/>
  <c r="AX34" i="13"/>
  <c r="AG37" i="13"/>
  <c r="AX30" i="13"/>
  <c r="AF37" i="13"/>
  <c r="AX26" i="13"/>
  <c r="AH35" i="13"/>
  <c r="AW34" i="13"/>
  <c r="AG35" i="13"/>
  <c r="AW30" i="13"/>
  <c r="AF35" i="13"/>
  <c r="AW26" i="13"/>
  <c r="BG34" i="13"/>
  <c r="BF34" i="13"/>
  <c r="BB34" i="13"/>
  <c r="AZ34" i="13"/>
  <c r="AH31" i="13"/>
  <c r="AU34" i="13"/>
  <c r="AH33" i="13"/>
  <c r="AV34" i="13"/>
  <c r="AG33" i="13"/>
  <c r="AV30" i="13"/>
  <c r="AF33" i="13"/>
  <c r="AV26" i="13"/>
  <c r="AG31" i="13"/>
  <c r="AU30" i="13"/>
  <c r="AF31" i="13"/>
  <c r="AU26" i="13"/>
  <c r="BE30" i="13"/>
  <c r="AH29" i="13"/>
  <c r="AT34" i="13"/>
  <c r="AG29" i="13"/>
  <c r="AT30" i="13"/>
  <c r="AF29" i="13"/>
  <c r="AT26" i="13"/>
  <c r="AH27" i="13"/>
  <c r="AS34" i="13"/>
  <c r="AG27" i="13"/>
  <c r="AS30" i="13"/>
  <c r="AF27" i="13"/>
  <c r="AS26" i="13"/>
  <c r="BG26" i="13"/>
  <c r="BC26" i="13"/>
  <c r="BA26" i="13"/>
  <c r="AP25" i="13"/>
  <c r="AM25" i="13"/>
  <c r="J25" i="13"/>
  <c r="H25" i="13"/>
  <c r="K25" i="13"/>
  <c r="AM28" i="10"/>
  <c r="AP28" i="10"/>
  <c r="BH37" i="10"/>
  <c r="BG37" i="10"/>
  <c r="BF37" i="10"/>
  <c r="BF29" i="10"/>
  <c r="BE37" i="10"/>
  <c r="BD37" i="10"/>
  <c r="BC37" i="10"/>
  <c r="BC33" i="10"/>
  <c r="BB37" i="10"/>
  <c r="BA37" i="10"/>
  <c r="AZ37" i="10"/>
  <c r="AZ29" i="10"/>
  <c r="AY37" i="10"/>
  <c r="AX37" i="10"/>
  <c r="AW37" i="10"/>
  <c r="AV37" i="10"/>
  <c r="AV33" i="10"/>
  <c r="AU37" i="10"/>
  <c r="AT37" i="10"/>
  <c r="AS37" i="10"/>
  <c r="J28" i="10"/>
  <c r="H28" i="10"/>
  <c r="I28" i="10"/>
  <c r="L28" i="10"/>
  <c r="I25" i="13"/>
  <c r="L25" i="13"/>
  <c r="BG29" i="10"/>
  <c r="BG33" i="10"/>
  <c r="H50" i="15"/>
  <c r="AY33" i="10"/>
  <c r="I29" i="15"/>
  <c r="I5" i="15"/>
  <c r="BE33" i="10"/>
  <c r="AY29" i="10"/>
  <c r="BB33" i="10"/>
  <c r="BD29" i="10"/>
  <c r="AW29" i="10"/>
  <c r="BA29" i="10"/>
  <c r="BD33" i="10"/>
  <c r="AV29" i="10"/>
  <c r="AT33" i="10"/>
  <c r="AX29" i="10"/>
  <c r="BB29" i="10"/>
  <c r="BE29" i="10"/>
  <c r="H5" i="15"/>
  <c r="I50" i="15"/>
  <c r="I17" i="15"/>
  <c r="H8" i="15"/>
  <c r="BF33" i="10"/>
  <c r="AX33" i="10"/>
  <c r="H35" i="15"/>
  <c r="I26" i="15"/>
  <c r="H11" i="15"/>
  <c r="I10" i="16"/>
  <c r="O10" i="16"/>
  <c r="I8" i="16"/>
  <c r="O8" i="16"/>
  <c r="I7" i="16"/>
  <c r="O7" i="16"/>
  <c r="I6" i="16"/>
  <c r="O6" i="16"/>
  <c r="I5" i="16"/>
  <c r="O5" i="16"/>
  <c r="I9" i="16"/>
  <c r="O9" i="16"/>
  <c r="I23" i="16"/>
  <c r="O23" i="16"/>
  <c r="I17" i="16"/>
  <c r="O17" i="16"/>
  <c r="I22" i="16"/>
  <c r="O22" i="16"/>
  <c r="I21" i="16"/>
  <c r="O21" i="16"/>
  <c r="I20" i="16"/>
  <c r="O20" i="16"/>
  <c r="I19" i="16"/>
  <c r="O19" i="16"/>
  <c r="I18" i="16"/>
  <c r="O18" i="16"/>
  <c r="I12" i="16"/>
  <c r="O12" i="16"/>
  <c r="I16" i="16"/>
  <c r="O16" i="16"/>
  <c r="I15" i="16"/>
  <c r="O15" i="16"/>
  <c r="I14" i="16"/>
  <c r="O14" i="16"/>
  <c r="I11" i="16"/>
  <c r="O11" i="16"/>
  <c r="I13" i="16"/>
  <c r="O13" i="16"/>
  <c r="M5" i="16"/>
  <c r="S5" i="16"/>
  <c r="P5" i="16"/>
  <c r="L5" i="16"/>
  <c r="R5" i="16"/>
  <c r="C39" i="14"/>
  <c r="B39" i="14"/>
  <c r="M18" i="14"/>
  <c r="L20" i="14"/>
  <c r="M36" i="14"/>
  <c r="L38" i="14"/>
  <c r="M27" i="14"/>
  <c r="L28" i="14"/>
  <c r="C18" i="14"/>
  <c r="B20" i="14"/>
  <c r="M33" i="14"/>
  <c r="L34" i="14"/>
  <c r="C30" i="14"/>
  <c r="B30" i="14"/>
  <c r="C27" i="14"/>
  <c r="B27" i="14"/>
  <c r="C24" i="14"/>
  <c r="B24" i="14"/>
  <c r="M30" i="14"/>
  <c r="L32" i="14"/>
  <c r="C36" i="14"/>
  <c r="B36" i="14"/>
  <c r="C33" i="14"/>
  <c r="B35" i="14"/>
  <c r="C21" i="14"/>
  <c r="M24" i="14"/>
  <c r="L26" i="14"/>
  <c r="M39" i="14"/>
  <c r="M21" i="14"/>
  <c r="L21" i="14"/>
  <c r="K28" i="10"/>
  <c r="H57" i="13"/>
  <c r="K56" i="13"/>
  <c r="B57" i="13"/>
  <c r="F40" i="13"/>
  <c r="B41" i="13"/>
  <c r="H41" i="13"/>
  <c r="K40" i="13"/>
  <c r="B49" i="13"/>
  <c r="H49" i="13"/>
  <c r="K48" i="13"/>
  <c r="F57" i="13"/>
  <c r="H55" i="13"/>
  <c r="K54" i="13"/>
  <c r="B55" i="13"/>
  <c r="F36" i="13"/>
  <c r="B37" i="13"/>
  <c r="H37" i="13"/>
  <c r="K36" i="13"/>
  <c r="D29" i="13"/>
  <c r="F31" i="13"/>
  <c r="H31" i="13"/>
  <c r="K30" i="13"/>
  <c r="B31" i="13"/>
  <c r="F51" i="13"/>
  <c r="H51" i="13"/>
  <c r="K50" i="13"/>
  <c r="B51" i="13"/>
  <c r="H39" i="13"/>
  <c r="K38" i="13"/>
  <c r="B39" i="13"/>
  <c r="F53" i="13"/>
  <c r="B53" i="13"/>
  <c r="H53" i="13"/>
  <c r="K52" i="13"/>
  <c r="F58" i="13"/>
  <c r="H59" i="13"/>
  <c r="I59" i="13"/>
  <c r="L57" i="13"/>
  <c r="B59" i="13"/>
  <c r="AP122" i="13"/>
  <c r="F32" i="13"/>
  <c r="B33" i="13"/>
  <c r="H33" i="13"/>
  <c r="K32" i="13"/>
  <c r="F44" i="13"/>
  <c r="H45" i="13"/>
  <c r="K44" i="13"/>
  <c r="B45" i="13"/>
  <c r="F30" i="13"/>
  <c r="H29" i="13"/>
  <c r="K28" i="13"/>
  <c r="B29" i="13"/>
  <c r="H35" i="13"/>
  <c r="I35" i="13"/>
  <c r="L34" i="13"/>
  <c r="B35" i="13"/>
  <c r="D27" i="13"/>
  <c r="J26" i="13"/>
  <c r="B27" i="13"/>
  <c r="H27" i="13"/>
  <c r="K26" i="13"/>
  <c r="H43" i="13"/>
  <c r="K42" i="13"/>
  <c r="I43" i="13"/>
  <c r="L42" i="13"/>
  <c r="B43" i="13"/>
  <c r="F47" i="13"/>
  <c r="H47" i="13"/>
  <c r="K46" i="13"/>
  <c r="B47" i="13"/>
  <c r="B40" i="14"/>
  <c r="L36" i="14"/>
  <c r="C52" i="10"/>
  <c r="C62" i="10"/>
  <c r="C60" i="10"/>
  <c r="C58" i="10"/>
  <c r="C56" i="10"/>
  <c r="B41" i="14"/>
  <c r="C54" i="10"/>
  <c r="C50" i="10"/>
  <c r="L37" i="14"/>
  <c r="L19" i="14"/>
  <c r="B34" i="14"/>
  <c r="L27" i="14"/>
  <c r="B33" i="14"/>
  <c r="L33" i="14"/>
  <c r="L18" i="14"/>
  <c r="B28" i="14"/>
  <c r="B32" i="14"/>
  <c r="B29" i="14"/>
  <c r="B38" i="14"/>
  <c r="B31" i="14"/>
  <c r="L31" i="14"/>
  <c r="L29" i="14"/>
  <c r="B25" i="14"/>
  <c r="L35" i="14"/>
  <c r="B18" i="14"/>
  <c r="B19" i="14"/>
  <c r="B26" i="14"/>
  <c r="B21" i="14"/>
  <c r="B22" i="14"/>
  <c r="B23" i="14"/>
  <c r="L30" i="14"/>
  <c r="L25" i="14"/>
  <c r="B37" i="14"/>
  <c r="L22" i="14"/>
  <c r="L23" i="14"/>
  <c r="L40" i="14"/>
  <c r="L41" i="14"/>
  <c r="L24" i="14"/>
  <c r="L39" i="14"/>
  <c r="F28" i="13"/>
  <c r="F29" i="13"/>
  <c r="F37" i="13"/>
  <c r="F54" i="13"/>
  <c r="S53" i="13"/>
  <c r="F34" i="13"/>
  <c r="F33" i="13"/>
  <c r="G33" i="13"/>
  <c r="F41" i="13"/>
  <c r="F56" i="13"/>
  <c r="P55" i="13"/>
  <c r="F49" i="13"/>
  <c r="F43" i="13"/>
  <c r="I27" i="13"/>
  <c r="L26" i="13"/>
  <c r="F39" i="13"/>
  <c r="G39" i="13"/>
  <c r="F27" i="13"/>
  <c r="I41" i="13"/>
  <c r="L40" i="13"/>
  <c r="L41" i="13"/>
  <c r="F38" i="13"/>
  <c r="AI37" i="13"/>
  <c r="F55" i="13"/>
  <c r="G55" i="13"/>
  <c r="F46" i="13"/>
  <c r="T45" i="13"/>
  <c r="I29" i="13"/>
  <c r="L28" i="13"/>
  <c r="F35" i="13"/>
  <c r="K29" i="13"/>
  <c r="I31" i="13"/>
  <c r="L30" i="13"/>
  <c r="L29" i="13"/>
  <c r="F52" i="13"/>
  <c r="R51" i="13"/>
  <c r="I47" i="13"/>
  <c r="L46" i="13"/>
  <c r="I49" i="13"/>
  <c r="L48" i="13"/>
  <c r="L47" i="13"/>
  <c r="F48" i="13"/>
  <c r="P47" i="13"/>
  <c r="F50" i="13"/>
  <c r="N49" i="13"/>
  <c r="F45" i="13"/>
  <c r="F42" i="13"/>
  <c r="T41" i="13"/>
  <c r="I45" i="13"/>
  <c r="L44" i="13"/>
  <c r="L43" i="13"/>
  <c r="A6" i="17"/>
  <c r="K34" i="13"/>
  <c r="I37" i="13"/>
  <c r="L36" i="13"/>
  <c r="G49" i="13"/>
  <c r="G27" i="13"/>
  <c r="G31" i="13"/>
  <c r="I39" i="13"/>
  <c r="L38" i="13"/>
  <c r="O57" i="13"/>
  <c r="R53" i="13"/>
  <c r="O41" i="13"/>
  <c r="N41" i="13"/>
  <c r="P41" i="13"/>
  <c r="J50" i="13"/>
  <c r="AP58" i="13"/>
  <c r="AP59" i="13"/>
  <c r="AX25" i="13"/>
  <c r="AP57" i="13"/>
  <c r="AP60" i="13"/>
  <c r="AP56" i="13"/>
  <c r="AP61" i="13"/>
  <c r="T33" i="13"/>
  <c r="O33" i="13"/>
  <c r="P33" i="13"/>
  <c r="R33" i="13"/>
  <c r="AP47" i="13"/>
  <c r="AP48" i="13"/>
  <c r="AP44" i="13"/>
  <c r="AP46" i="13"/>
  <c r="AV25" i="13"/>
  <c r="AP49" i="13"/>
  <c r="AP45" i="13"/>
  <c r="P31" i="13"/>
  <c r="S31" i="13"/>
  <c r="O31" i="13"/>
  <c r="T31" i="13"/>
  <c r="AI31" i="13"/>
  <c r="AJ31" i="13"/>
  <c r="N31" i="13"/>
  <c r="R31" i="13"/>
  <c r="N53" i="13"/>
  <c r="T53" i="13"/>
  <c r="AI53" i="13"/>
  <c r="O53" i="13"/>
  <c r="J54" i="13"/>
  <c r="AP92" i="13"/>
  <c r="AP94" i="13"/>
  <c r="AP96" i="13"/>
  <c r="AP95" i="13"/>
  <c r="AP97" i="13"/>
  <c r="BD25" i="13"/>
  <c r="AP93" i="13"/>
  <c r="O55" i="13"/>
  <c r="AP77" i="13"/>
  <c r="BA25" i="13"/>
  <c r="AP76" i="13"/>
  <c r="AP79" i="13"/>
  <c r="AP74" i="13"/>
  <c r="AP78" i="13"/>
  <c r="AP75" i="13"/>
  <c r="AP26" i="13"/>
  <c r="AP28" i="13"/>
  <c r="AP27" i="13"/>
  <c r="AS25" i="13"/>
  <c r="AP31" i="13"/>
  <c r="AP30" i="13"/>
  <c r="AP29" i="13"/>
  <c r="I33" i="13"/>
  <c r="L32" i="13"/>
  <c r="J52" i="13"/>
  <c r="N37" i="13"/>
  <c r="P37" i="13"/>
  <c r="K31" i="13"/>
  <c r="K33" i="13"/>
  <c r="I55" i="13"/>
  <c r="L54" i="13"/>
  <c r="AP62" i="13"/>
  <c r="AY25" i="13"/>
  <c r="AP64" i="13"/>
  <c r="AP67" i="13"/>
  <c r="AP66" i="13"/>
  <c r="AP65" i="13"/>
  <c r="AP63" i="13"/>
  <c r="AI43" i="13"/>
  <c r="T43" i="13"/>
  <c r="G43" i="13"/>
  <c r="O43" i="13"/>
  <c r="N43" i="13"/>
  <c r="P43" i="13"/>
  <c r="R43" i="13"/>
  <c r="S43" i="13"/>
  <c r="BC25" i="13"/>
  <c r="AP91" i="13"/>
  <c r="AP89" i="13"/>
  <c r="AP90" i="13"/>
  <c r="AP86" i="13"/>
  <c r="AP87" i="13"/>
  <c r="AP88" i="13"/>
  <c r="O49" i="13"/>
  <c r="AI49" i="13"/>
  <c r="AJ49" i="13"/>
  <c r="T49" i="13"/>
  <c r="L35" i="13"/>
  <c r="AP73" i="13"/>
  <c r="AP68" i="13"/>
  <c r="AZ25" i="13"/>
  <c r="AP69" i="13"/>
  <c r="AP70" i="13"/>
  <c r="AP71" i="13"/>
  <c r="AP72" i="13"/>
  <c r="G45" i="13"/>
  <c r="N45" i="13"/>
  <c r="S45" i="13"/>
  <c r="AI45" i="13"/>
  <c r="J27" i="13"/>
  <c r="J28" i="13"/>
  <c r="J44" i="13"/>
  <c r="J48" i="13"/>
  <c r="J46" i="13"/>
  <c r="J40" i="13"/>
  <c r="J38" i="13"/>
  <c r="J31" i="13"/>
  <c r="J32" i="13"/>
  <c r="R27" i="13"/>
  <c r="O27" i="13"/>
  <c r="S27" i="13"/>
  <c r="N27" i="13"/>
  <c r="AI27" i="13"/>
  <c r="T27" i="13"/>
  <c r="P27" i="13"/>
  <c r="G51" i="13"/>
  <c r="T51" i="13"/>
  <c r="O51" i="13"/>
  <c r="AI51" i="13"/>
  <c r="AP54" i="13"/>
  <c r="AP50" i="13"/>
  <c r="AP51" i="13"/>
  <c r="AP52" i="13"/>
  <c r="AP55" i="13"/>
  <c r="AP53" i="13"/>
  <c r="AW25" i="13"/>
  <c r="J30" i="13"/>
  <c r="J29" i="13"/>
  <c r="BG25" i="13"/>
  <c r="AP115" i="13"/>
  <c r="AP113" i="13"/>
  <c r="AP111" i="13"/>
  <c r="AP114" i="13"/>
  <c r="AP112" i="13"/>
  <c r="AP110" i="13"/>
  <c r="J42" i="13"/>
  <c r="AP109" i="13"/>
  <c r="AP107" i="13"/>
  <c r="AP104" i="13"/>
  <c r="AP106" i="13"/>
  <c r="BF25" i="13"/>
  <c r="AP108" i="13"/>
  <c r="AP105" i="13"/>
  <c r="S29" i="13"/>
  <c r="G29" i="13"/>
  <c r="R29" i="13"/>
  <c r="O29" i="13"/>
  <c r="T29" i="13"/>
  <c r="P29" i="13"/>
  <c r="N29" i="13"/>
  <c r="AI29" i="13"/>
  <c r="AP80" i="13"/>
  <c r="BB25" i="13"/>
  <c r="AP84" i="13"/>
  <c r="AP81" i="13"/>
  <c r="AP82" i="13"/>
  <c r="AP85" i="13"/>
  <c r="AP83" i="13"/>
  <c r="N57" i="13"/>
  <c r="AI57" i="13"/>
  <c r="R57" i="13"/>
  <c r="P57" i="13"/>
  <c r="S57" i="13"/>
  <c r="G57" i="13"/>
  <c r="T57" i="13"/>
  <c r="I51" i="13"/>
  <c r="L50" i="13"/>
  <c r="I57" i="13"/>
  <c r="L56" i="13"/>
  <c r="K27" i="13"/>
  <c r="AP35" i="13"/>
  <c r="AT25" i="13"/>
  <c r="AP34" i="13"/>
  <c r="AP32" i="13"/>
  <c r="AP36" i="13"/>
  <c r="AP33" i="13"/>
  <c r="AP37" i="13"/>
  <c r="I53" i="13"/>
  <c r="L52" i="13"/>
  <c r="AP103" i="13"/>
  <c r="AP101" i="13"/>
  <c r="AP99" i="13"/>
  <c r="AP100" i="13"/>
  <c r="BE25" i="13"/>
  <c r="AP102" i="13"/>
  <c r="AP98" i="13"/>
  <c r="AP39" i="13"/>
  <c r="AP43" i="13"/>
  <c r="AP40" i="13"/>
  <c r="AP41" i="13"/>
  <c r="AP38" i="13"/>
  <c r="AP42" i="13"/>
  <c r="AU25" i="13"/>
  <c r="S35" i="13"/>
  <c r="P35" i="13"/>
  <c r="G35" i="13"/>
  <c r="N35" i="13"/>
  <c r="T35" i="13"/>
  <c r="O35" i="13"/>
  <c r="R35" i="13"/>
  <c r="AI35" i="13"/>
  <c r="J34" i="13"/>
  <c r="J36" i="13"/>
  <c r="AI39" i="13"/>
  <c r="P39" i="13"/>
  <c r="T39" i="13"/>
  <c r="R39" i="13"/>
  <c r="S39" i="13"/>
  <c r="O39" i="13"/>
  <c r="N39" i="13"/>
  <c r="AP118" i="13"/>
  <c r="AP120" i="13"/>
  <c r="AP116" i="13"/>
  <c r="AP119" i="13"/>
  <c r="AP121" i="13"/>
  <c r="BH25" i="13"/>
  <c r="AP117" i="13"/>
  <c r="J56" i="13"/>
  <c r="H44" i="10"/>
  <c r="K43" i="10"/>
  <c r="B48" i="10"/>
  <c r="H38" i="10"/>
  <c r="I38" i="10"/>
  <c r="L37" i="10"/>
  <c r="B34" i="10"/>
  <c r="F30" i="10"/>
  <c r="D56" i="10"/>
  <c r="H48" i="10"/>
  <c r="K47" i="10"/>
  <c r="H32" i="10"/>
  <c r="K31" i="10"/>
  <c r="B36" i="10"/>
  <c r="B54" i="10"/>
  <c r="D54" i="10"/>
  <c r="H62" i="10"/>
  <c r="I62" i="10"/>
  <c r="L60" i="10"/>
  <c r="D62" i="10"/>
  <c r="B58" i="10"/>
  <c r="D58" i="10"/>
  <c r="H54" i="10"/>
  <c r="K53" i="10"/>
  <c r="H50" i="10"/>
  <c r="I50" i="10"/>
  <c r="L49" i="10"/>
  <c r="D50" i="10"/>
  <c r="B46" i="10"/>
  <c r="B44" i="10"/>
  <c r="B30" i="10"/>
  <c r="B60" i="10"/>
  <c r="D60" i="10"/>
  <c r="B40" i="10"/>
  <c r="D52" i="10"/>
  <c r="H58" i="10"/>
  <c r="K57" i="10"/>
  <c r="H34" i="10"/>
  <c r="K33" i="10"/>
  <c r="H52" i="10"/>
  <c r="K51" i="10"/>
  <c r="B42" i="10"/>
  <c r="B50" i="10"/>
  <c r="H56" i="10"/>
  <c r="K55" i="10"/>
  <c r="B56" i="10"/>
  <c r="H42" i="10"/>
  <c r="H36" i="10"/>
  <c r="K35" i="10"/>
  <c r="H46" i="10"/>
  <c r="I46" i="10"/>
  <c r="L45" i="10"/>
  <c r="B38" i="10"/>
  <c r="B62" i="10"/>
  <c r="AP125" i="10"/>
  <c r="B52" i="10"/>
  <c r="H40" i="10"/>
  <c r="K39" i="10"/>
  <c r="H30" i="10"/>
  <c r="K29" i="10"/>
  <c r="H60" i="10"/>
  <c r="K59" i="10"/>
  <c r="B32" i="10"/>
  <c r="AP41" i="10"/>
  <c r="AI55" i="13"/>
  <c r="AJ43" i="13"/>
  <c r="O37" i="13"/>
  <c r="R55" i="13"/>
  <c r="P51" i="13"/>
  <c r="G37" i="13"/>
  <c r="T55" i="13"/>
  <c r="G53" i="13"/>
  <c r="AJ53" i="13"/>
  <c r="AJ51" i="13"/>
  <c r="S37" i="13"/>
  <c r="N55" i="13"/>
  <c r="AN111" i="13"/>
  <c r="AN112" i="13"/>
  <c r="AN110" i="13"/>
  <c r="P53" i="13"/>
  <c r="AN107" i="13"/>
  <c r="G41" i="13"/>
  <c r="S51" i="13"/>
  <c r="N51" i="13"/>
  <c r="AN99" i="13"/>
  <c r="R37" i="13"/>
  <c r="L27" i="13"/>
  <c r="T37" i="13"/>
  <c r="S55" i="13"/>
  <c r="S47" i="13"/>
  <c r="P45" i="13"/>
  <c r="R49" i="13"/>
  <c r="R41" i="13"/>
  <c r="R45" i="13"/>
  <c r="P49" i="13"/>
  <c r="AI41" i="13"/>
  <c r="AJ41" i="13"/>
  <c r="L37" i="13"/>
  <c r="L55" i="13"/>
  <c r="O45" i="13"/>
  <c r="S49" i="13"/>
  <c r="L31" i="13"/>
  <c r="L39" i="13"/>
  <c r="S41" i="13"/>
  <c r="L45" i="13"/>
  <c r="L49" i="13"/>
  <c r="AJ55" i="13"/>
  <c r="AJ57" i="13"/>
  <c r="AJ37" i="13"/>
  <c r="AJ29" i="13"/>
  <c r="AJ39" i="13"/>
  <c r="AJ35" i="13"/>
  <c r="AJ45" i="13"/>
  <c r="AP88" i="10"/>
  <c r="C32" i="15"/>
  <c r="AP71" i="10"/>
  <c r="C26" i="15"/>
  <c r="AP32" i="10"/>
  <c r="C5" i="15"/>
  <c r="AP45" i="10"/>
  <c r="C11" i="15"/>
  <c r="AP38" i="10"/>
  <c r="C8" i="15"/>
  <c r="AP51" i="10"/>
  <c r="C14" i="15"/>
  <c r="AP118" i="10"/>
  <c r="C47" i="15"/>
  <c r="AX28" i="10"/>
  <c r="C20" i="15"/>
  <c r="AP91" i="10"/>
  <c r="C35" i="15"/>
  <c r="BF28" i="10"/>
  <c r="C44" i="15"/>
  <c r="AP98" i="10"/>
  <c r="C38" i="15"/>
  <c r="AP81" i="10"/>
  <c r="C29" i="15"/>
  <c r="AP66" i="10"/>
  <c r="C23" i="15"/>
  <c r="AP56" i="10"/>
  <c r="C17" i="15"/>
  <c r="AP124" i="10"/>
  <c r="C50" i="15"/>
  <c r="C41" i="15"/>
  <c r="B6" i="17"/>
  <c r="C6" i="17"/>
  <c r="A7" i="17"/>
  <c r="T47" i="13"/>
  <c r="O47" i="13"/>
  <c r="AM88" i="13"/>
  <c r="S33" i="13"/>
  <c r="G47" i="13"/>
  <c r="AI33" i="13"/>
  <c r="AJ33" i="13"/>
  <c r="AI47" i="13"/>
  <c r="N47" i="13"/>
  <c r="AN87" i="13"/>
  <c r="AN88" i="13"/>
  <c r="AN86" i="13"/>
  <c r="R47" i="13"/>
  <c r="K35" i="13"/>
  <c r="K37" i="13"/>
  <c r="K39" i="13"/>
  <c r="K41" i="13"/>
  <c r="K43" i="13"/>
  <c r="K45" i="13"/>
  <c r="K47" i="13"/>
  <c r="K49" i="13"/>
  <c r="K51" i="13"/>
  <c r="K53" i="13"/>
  <c r="K55" i="13"/>
  <c r="K57" i="13"/>
  <c r="N33" i="13"/>
  <c r="AN45" i="13"/>
  <c r="AO117" i="13"/>
  <c r="AO118" i="13"/>
  <c r="AO116" i="13"/>
  <c r="AM117" i="13"/>
  <c r="AN117" i="13"/>
  <c r="AN118" i="13"/>
  <c r="AN116" i="13"/>
  <c r="AN40" i="13"/>
  <c r="AO40" i="13"/>
  <c r="AM40" i="13"/>
  <c r="AM38" i="13"/>
  <c r="AO43" i="13"/>
  <c r="AN43" i="13"/>
  <c r="AM43" i="13"/>
  <c r="AN91" i="13"/>
  <c r="AM33" i="13"/>
  <c r="AO33" i="13"/>
  <c r="AO34" i="13"/>
  <c r="AO32" i="13"/>
  <c r="AN33" i="13"/>
  <c r="AN34" i="13"/>
  <c r="AN32" i="13"/>
  <c r="AO29" i="13"/>
  <c r="AM29" i="13"/>
  <c r="AN29" i="13"/>
  <c r="AN95" i="13"/>
  <c r="AO95" i="13"/>
  <c r="AM95" i="13"/>
  <c r="AN105" i="13"/>
  <c r="AN106" i="13"/>
  <c r="AN104" i="13"/>
  <c r="AM105" i="13"/>
  <c r="AO105" i="13"/>
  <c r="AO106" i="13"/>
  <c r="AO104" i="13"/>
  <c r="AO70" i="13"/>
  <c r="AM70" i="13"/>
  <c r="AM68" i="13"/>
  <c r="AN70" i="13"/>
  <c r="AN73" i="13"/>
  <c r="AO73" i="13"/>
  <c r="AM73" i="13"/>
  <c r="AN55" i="13"/>
  <c r="AM55" i="13"/>
  <c r="AN52" i="13"/>
  <c r="AM52" i="13"/>
  <c r="AO55" i="13"/>
  <c r="AM50" i="13"/>
  <c r="AO52" i="13"/>
  <c r="AO67" i="13"/>
  <c r="AM67" i="13"/>
  <c r="AO64" i="13"/>
  <c r="AM64" i="13"/>
  <c r="AN64" i="13"/>
  <c r="AN67" i="13"/>
  <c r="AM62" i="13"/>
  <c r="AN53" i="13"/>
  <c r="AM53" i="13"/>
  <c r="AO53" i="13"/>
  <c r="L51" i="13"/>
  <c r="AM94" i="13"/>
  <c r="AN94" i="13"/>
  <c r="AO94" i="13"/>
  <c r="AM92" i="13"/>
  <c r="AO97" i="13"/>
  <c r="AM97" i="13"/>
  <c r="AN97" i="13"/>
  <c r="AO46" i="13"/>
  <c r="AM44" i="13"/>
  <c r="AN46" i="13"/>
  <c r="AM46" i="13"/>
  <c r="AM49" i="13"/>
  <c r="AN49" i="13"/>
  <c r="AO49" i="13"/>
  <c r="AM31" i="13"/>
  <c r="AM26" i="13"/>
  <c r="AO28" i="13"/>
  <c r="AN31" i="13"/>
  <c r="AO31" i="13"/>
  <c r="AM28" i="13"/>
  <c r="AN28" i="13"/>
  <c r="AN83" i="13"/>
  <c r="AM83" i="13"/>
  <c r="AO83" i="13"/>
  <c r="L53" i="13"/>
  <c r="AO77" i="13"/>
  <c r="AN77" i="13"/>
  <c r="AM77" i="13"/>
  <c r="AM75" i="13"/>
  <c r="AO75" i="13"/>
  <c r="AO76" i="13"/>
  <c r="AO74" i="13"/>
  <c r="AN75" i="13"/>
  <c r="AN76" i="13"/>
  <c r="AN74" i="13"/>
  <c r="AO111" i="13"/>
  <c r="AO112" i="13"/>
  <c r="AO110" i="13"/>
  <c r="AM111" i="13"/>
  <c r="AM116" i="13"/>
  <c r="AM118" i="13"/>
  <c r="AM122" i="13"/>
  <c r="AN121" i="13"/>
  <c r="AO121" i="13"/>
  <c r="AM121" i="13"/>
  <c r="AO41" i="13"/>
  <c r="AM41" i="13"/>
  <c r="AN41" i="13"/>
  <c r="AM59" i="13"/>
  <c r="AN59" i="13"/>
  <c r="AO59" i="13"/>
  <c r="AM45" i="13"/>
  <c r="AM74" i="13"/>
  <c r="AM76" i="13"/>
  <c r="AO79" i="13"/>
  <c r="AN79" i="13"/>
  <c r="AM79" i="13"/>
  <c r="AN113" i="13"/>
  <c r="AO113" i="13"/>
  <c r="AM113" i="13"/>
  <c r="AM101" i="13"/>
  <c r="AO101" i="13"/>
  <c r="AN101" i="13"/>
  <c r="AM51" i="13"/>
  <c r="AO51" i="13"/>
  <c r="AO50" i="13"/>
  <c r="AN51" i="13"/>
  <c r="AN50" i="13"/>
  <c r="AJ27" i="13"/>
  <c r="AN93" i="13"/>
  <c r="AN92" i="13"/>
  <c r="AO93" i="13"/>
  <c r="AO92" i="13"/>
  <c r="AM93" i="13"/>
  <c r="AM57" i="13"/>
  <c r="AN57" i="13"/>
  <c r="AN58" i="13"/>
  <c r="AN56" i="13"/>
  <c r="AO57" i="13"/>
  <c r="AO58" i="13"/>
  <c r="AO56" i="13"/>
  <c r="AM112" i="13"/>
  <c r="AM110" i="13"/>
  <c r="AN115" i="13"/>
  <c r="AM115" i="13"/>
  <c r="AO115" i="13"/>
  <c r="AO39" i="13"/>
  <c r="AO38" i="13"/>
  <c r="AM39" i="13"/>
  <c r="AN39" i="13"/>
  <c r="AN38" i="13"/>
  <c r="AN71" i="13"/>
  <c r="AN72" i="13"/>
  <c r="AO71" i="13"/>
  <c r="AM71" i="13"/>
  <c r="AM89" i="13"/>
  <c r="AO89" i="13"/>
  <c r="AN89" i="13"/>
  <c r="AO65" i="13"/>
  <c r="AN65" i="13"/>
  <c r="AM65" i="13"/>
  <c r="AN35" i="13"/>
  <c r="AM35" i="13"/>
  <c r="AO35" i="13"/>
  <c r="AM100" i="13"/>
  <c r="AM98" i="13"/>
  <c r="AO103" i="13"/>
  <c r="AN100" i="13"/>
  <c r="AN103" i="13"/>
  <c r="AO100" i="13"/>
  <c r="AM103" i="13"/>
  <c r="AM82" i="13"/>
  <c r="AM80" i="13"/>
  <c r="AO82" i="13"/>
  <c r="AN82" i="13"/>
  <c r="AN85" i="13"/>
  <c r="AM85" i="13"/>
  <c r="AO85" i="13"/>
  <c r="AM34" i="13"/>
  <c r="AM37" i="13"/>
  <c r="AN37" i="13"/>
  <c r="AM32" i="13"/>
  <c r="AO37" i="13"/>
  <c r="AN63" i="13"/>
  <c r="AN62" i="13"/>
  <c r="AM63" i="13"/>
  <c r="AO63" i="13"/>
  <c r="AO62" i="13"/>
  <c r="AM119" i="13"/>
  <c r="AN119" i="13"/>
  <c r="AN120" i="13"/>
  <c r="AO119" i="13"/>
  <c r="AM27" i="13"/>
  <c r="AO27" i="13"/>
  <c r="AN27" i="13"/>
  <c r="AO81" i="13"/>
  <c r="AO80" i="13"/>
  <c r="AM81" i="13"/>
  <c r="AN81" i="13"/>
  <c r="AN80" i="13"/>
  <c r="AM61" i="13"/>
  <c r="AO61" i="13"/>
  <c r="AN61" i="13"/>
  <c r="AM56" i="13"/>
  <c r="AM58" i="13"/>
  <c r="AM104" i="13"/>
  <c r="AM106" i="13"/>
  <c r="AO109" i="13"/>
  <c r="AM109" i="13"/>
  <c r="AN109" i="13"/>
  <c r="AN47" i="13"/>
  <c r="AO47" i="13"/>
  <c r="AM47" i="13"/>
  <c r="AO69" i="13"/>
  <c r="AO68" i="13"/>
  <c r="AN69" i="13"/>
  <c r="AN68" i="13"/>
  <c r="AM69" i="13"/>
  <c r="L33" i="13"/>
  <c r="F48" i="10"/>
  <c r="F52" i="10"/>
  <c r="F49" i="10"/>
  <c r="P48" i="10"/>
  <c r="AO86" i="10"/>
  <c r="F61" i="10"/>
  <c r="N60" i="10"/>
  <c r="F47" i="10"/>
  <c r="O46" i="10"/>
  <c r="AM79" i="10"/>
  <c r="F43" i="10"/>
  <c r="R42" i="10"/>
  <c r="I44" i="10"/>
  <c r="L43" i="10"/>
  <c r="L44" i="10"/>
  <c r="F35" i="10"/>
  <c r="O34" i="10"/>
  <c r="F44" i="10"/>
  <c r="F59" i="10"/>
  <c r="AI58" i="10"/>
  <c r="F51" i="10"/>
  <c r="O50" i="10"/>
  <c r="AM91" i="10"/>
  <c r="F37" i="10"/>
  <c r="P36" i="10"/>
  <c r="AN50" i="10"/>
  <c r="F57" i="10"/>
  <c r="AI56" i="10"/>
  <c r="K44" i="15"/>
  <c r="F60" i="10"/>
  <c r="F56" i="10"/>
  <c r="F55" i="10"/>
  <c r="R54" i="10"/>
  <c r="F46" i="10"/>
  <c r="F53" i="10"/>
  <c r="S52" i="10"/>
  <c r="F45" i="10"/>
  <c r="AI44" i="10"/>
  <c r="F34" i="10"/>
  <c r="AP87" i="10"/>
  <c r="AP83" i="10"/>
  <c r="F40" i="10"/>
  <c r="F41" i="10"/>
  <c r="T40" i="10"/>
  <c r="F39" i="10"/>
  <c r="O38" i="10"/>
  <c r="AO55" i="10"/>
  <c r="F42" i="10"/>
  <c r="AP43" i="10"/>
  <c r="AP84" i="10"/>
  <c r="F54" i="10"/>
  <c r="F58" i="10"/>
  <c r="BB28" i="10"/>
  <c r="AP86" i="10"/>
  <c r="F50" i="10"/>
  <c r="F33" i="10"/>
  <c r="AI32" i="10"/>
  <c r="K8" i="15"/>
  <c r="AP85" i="10"/>
  <c r="F38" i="10"/>
  <c r="K37" i="10"/>
  <c r="F32" i="10"/>
  <c r="J29" i="10"/>
  <c r="F31" i="10"/>
  <c r="S30" i="10"/>
  <c r="AP46" i="10"/>
  <c r="AU28" i="10"/>
  <c r="F36" i="10"/>
  <c r="AP44" i="10"/>
  <c r="AS28" i="10"/>
  <c r="AP42" i="10"/>
  <c r="K49" i="10"/>
  <c r="AP61" i="10"/>
  <c r="AP77" i="10"/>
  <c r="AP33" i="10"/>
  <c r="BH28" i="10"/>
  <c r="I48" i="10"/>
  <c r="L47" i="10"/>
  <c r="L48" i="10"/>
  <c r="I32" i="10"/>
  <c r="L31" i="10"/>
  <c r="AP34" i="10"/>
  <c r="AP80" i="10"/>
  <c r="AP29" i="10"/>
  <c r="AP82" i="10"/>
  <c r="AP123" i="10"/>
  <c r="I58" i="10"/>
  <c r="L57" i="10"/>
  <c r="AP114" i="10"/>
  <c r="I56" i="10"/>
  <c r="L55" i="10"/>
  <c r="AP31" i="10"/>
  <c r="AP74" i="10"/>
  <c r="I54" i="10"/>
  <c r="L53" i="10"/>
  <c r="AP78" i="10"/>
  <c r="AP119" i="10"/>
  <c r="AP30" i="10"/>
  <c r="AP73" i="10"/>
  <c r="AV28" i="10"/>
  <c r="AP75" i="10"/>
  <c r="AP79" i="10"/>
  <c r="AP120" i="10"/>
  <c r="AP48" i="10"/>
  <c r="AP117" i="10"/>
  <c r="AP116" i="10"/>
  <c r="AP101" i="10"/>
  <c r="AP103" i="10"/>
  <c r="AP104" i="10"/>
  <c r="AP102" i="10"/>
  <c r="AP106" i="10"/>
  <c r="BE28" i="10"/>
  <c r="AP105" i="10"/>
  <c r="AP60" i="10"/>
  <c r="AZ28" i="10"/>
  <c r="AP76" i="10"/>
  <c r="AP52" i="10"/>
  <c r="AP50" i="10"/>
  <c r="AP63" i="10"/>
  <c r="AP72" i="10"/>
  <c r="AP64" i="10"/>
  <c r="AP59" i="10"/>
  <c r="AP49" i="10"/>
  <c r="AP113" i="10"/>
  <c r="AP115" i="10"/>
  <c r="BA28" i="10"/>
  <c r="BC28" i="10"/>
  <c r="K30" i="10"/>
  <c r="AP121" i="10"/>
  <c r="AP47" i="10"/>
  <c r="AP122" i="10"/>
  <c r="AP62" i="10"/>
  <c r="BG28" i="10"/>
  <c r="I52" i="10"/>
  <c r="L51" i="10"/>
  <c r="L50" i="10"/>
  <c r="I34" i="10"/>
  <c r="L33" i="10"/>
  <c r="AP93" i="10"/>
  <c r="AP89" i="10"/>
  <c r="AP110" i="10"/>
  <c r="AP95" i="10"/>
  <c r="AP90" i="10"/>
  <c r="AP94" i="10"/>
  <c r="AP92" i="10"/>
  <c r="AP99" i="10"/>
  <c r="AP109" i="10"/>
  <c r="AP97" i="10"/>
  <c r="AP39" i="10"/>
  <c r="AP68" i="10"/>
  <c r="AP67" i="10"/>
  <c r="I36" i="10"/>
  <c r="L35" i="10"/>
  <c r="L36" i="10"/>
  <c r="AY28" i="10"/>
  <c r="AP70" i="10"/>
  <c r="AP65" i="10"/>
  <c r="K45" i="10"/>
  <c r="AP69" i="10"/>
  <c r="AP107" i="10"/>
  <c r="AP112" i="10"/>
  <c r="AP96" i="10"/>
  <c r="AP108" i="10"/>
  <c r="AP111" i="10"/>
  <c r="BD28" i="10"/>
  <c r="J31" i="10"/>
  <c r="I42" i="10"/>
  <c r="L41" i="10"/>
  <c r="K41" i="10"/>
  <c r="AP100" i="10"/>
  <c r="A6" i="16"/>
  <c r="B6" i="16"/>
  <c r="AT28" i="10"/>
  <c r="I30" i="10"/>
  <c r="L29" i="10"/>
  <c r="AP53" i="10"/>
  <c r="AP58" i="10"/>
  <c r="AW28" i="10"/>
  <c r="AP40" i="10"/>
  <c r="AP57" i="10"/>
  <c r="AP36" i="10"/>
  <c r="I40" i="10"/>
  <c r="L39" i="10"/>
  <c r="I60" i="10"/>
  <c r="L59" i="10"/>
  <c r="AP54" i="10"/>
  <c r="AP55" i="10"/>
  <c r="AP35" i="10"/>
  <c r="AP37" i="10"/>
  <c r="K34" i="10"/>
  <c r="K36" i="10"/>
  <c r="K32" i="10"/>
  <c r="AO45" i="13"/>
  <c r="AM99" i="13"/>
  <c r="AM91" i="13"/>
  <c r="AO99" i="13"/>
  <c r="AO88" i="13"/>
  <c r="AO107" i="13"/>
  <c r="AO108" i="13"/>
  <c r="AM107" i="13"/>
  <c r="AM108" i="13"/>
  <c r="AN90" i="13"/>
  <c r="AM86" i="13"/>
  <c r="AN98" i="13"/>
  <c r="AN66" i="13"/>
  <c r="AJ47" i="13"/>
  <c r="N19" i="13"/>
  <c r="W19" i="13"/>
  <c r="AO42" i="13"/>
  <c r="AN114" i="13"/>
  <c r="AO87" i="13"/>
  <c r="AO86" i="13"/>
  <c r="AO84" i="13"/>
  <c r="AM87" i="13"/>
  <c r="AO78" i="13"/>
  <c r="AO91" i="13"/>
  <c r="B28" i="15"/>
  <c r="B27" i="15"/>
  <c r="B26" i="15"/>
  <c r="B5" i="15"/>
  <c r="B6" i="15"/>
  <c r="B7" i="15"/>
  <c r="B17" i="15"/>
  <c r="B19" i="15"/>
  <c r="B18" i="15"/>
  <c r="B40" i="15"/>
  <c r="B38" i="15"/>
  <c r="B39" i="15"/>
  <c r="B20" i="15"/>
  <c r="B22" i="15"/>
  <c r="B21" i="15"/>
  <c r="B9" i="15"/>
  <c r="B10" i="15"/>
  <c r="B8" i="15"/>
  <c r="B49" i="15"/>
  <c r="B48" i="15"/>
  <c r="B47" i="15"/>
  <c r="B43" i="15"/>
  <c r="B42" i="15"/>
  <c r="B41" i="15"/>
  <c r="B33" i="15"/>
  <c r="B34" i="15"/>
  <c r="B32" i="15"/>
  <c r="B25" i="15"/>
  <c r="B24" i="15"/>
  <c r="B23" i="15"/>
  <c r="B52" i="15"/>
  <c r="B51" i="15"/>
  <c r="B50" i="15"/>
  <c r="B30" i="15"/>
  <c r="B29" i="15"/>
  <c r="B31" i="15"/>
  <c r="B36" i="15"/>
  <c r="B35" i="15"/>
  <c r="B37" i="15"/>
  <c r="B44" i="15"/>
  <c r="B46" i="15"/>
  <c r="B45" i="15"/>
  <c r="B12" i="15"/>
  <c r="B11" i="15"/>
  <c r="B13" i="15"/>
  <c r="B14" i="15"/>
  <c r="B16" i="15"/>
  <c r="B15" i="15"/>
  <c r="B7" i="17"/>
  <c r="C7" i="17"/>
  <c r="A8" i="17"/>
  <c r="T48" i="10"/>
  <c r="AI48" i="10"/>
  <c r="K32" i="15"/>
  <c r="AM72" i="13"/>
  <c r="AN102" i="13"/>
  <c r="AN44" i="13"/>
  <c r="AO66" i="13"/>
  <c r="AM30" i="13"/>
  <c r="AN26" i="13"/>
  <c r="AO98" i="13"/>
  <c r="AO96" i="13"/>
  <c r="AO48" i="13"/>
  <c r="AO54" i="13"/>
  <c r="AM36" i="13"/>
  <c r="AN42" i="13"/>
  <c r="AM78" i="13"/>
  <c r="AO102" i="13"/>
  <c r="AO30" i="13"/>
  <c r="AM120" i="13"/>
  <c r="AO90" i="13"/>
  <c r="AM114" i="13"/>
  <c r="AM54" i="13"/>
  <c r="AN96" i="13"/>
  <c r="AN48" i="13"/>
  <c r="AO36" i="13"/>
  <c r="AM90" i="13"/>
  <c r="AO114" i="13"/>
  <c r="AM42" i="13"/>
  <c r="AN78" i="13"/>
  <c r="AM66" i="13"/>
  <c r="AN54" i="13"/>
  <c r="AN30" i="13"/>
  <c r="AN36" i="13"/>
  <c r="AO44" i="13"/>
  <c r="AO60" i="13"/>
  <c r="AM84" i="13"/>
  <c r="AO72" i="13"/>
  <c r="AO26" i="13"/>
  <c r="AM102" i="13"/>
  <c r="AM96" i="13"/>
  <c r="AO120" i="13"/>
  <c r="AN60" i="13"/>
  <c r="AO122" i="13"/>
  <c r="AN122" i="13"/>
  <c r="AN84" i="13"/>
  <c r="AM48" i="13"/>
  <c r="AN108" i="13"/>
  <c r="AM60" i="13"/>
  <c r="S60" i="10"/>
  <c r="R48" i="10"/>
  <c r="G48" i="10"/>
  <c r="L32" i="15"/>
  <c r="N48" i="10"/>
  <c r="AO84" i="10"/>
  <c r="S48" i="10"/>
  <c r="P60" i="10"/>
  <c r="AN122" i="10"/>
  <c r="N46" i="10"/>
  <c r="AM78" i="10"/>
  <c r="T60" i="10"/>
  <c r="O48" i="10"/>
  <c r="AM83" i="10"/>
  <c r="O60" i="10"/>
  <c r="AM121" i="10"/>
  <c r="AM125" i="10"/>
  <c r="AO125" i="10"/>
  <c r="G60" i="10"/>
  <c r="L50" i="15"/>
  <c r="AI60" i="10"/>
  <c r="AJ60" i="10"/>
  <c r="M50" i="15"/>
  <c r="R60" i="10"/>
  <c r="P46" i="10"/>
  <c r="AN80" i="10"/>
  <c r="N44" i="10"/>
  <c r="AO72" i="10"/>
  <c r="T56" i="10"/>
  <c r="T46" i="10"/>
  <c r="R36" i="10"/>
  <c r="R44" i="10"/>
  <c r="S44" i="10"/>
  <c r="N36" i="10"/>
  <c r="AM48" i="10"/>
  <c r="T36" i="10"/>
  <c r="O36" i="10"/>
  <c r="AM47" i="10"/>
  <c r="S46" i="10"/>
  <c r="S36" i="10"/>
  <c r="P56" i="10"/>
  <c r="AN110" i="10"/>
  <c r="G36" i="10"/>
  <c r="L14" i="15"/>
  <c r="L42" i="10"/>
  <c r="AI50" i="10"/>
  <c r="K35" i="15"/>
  <c r="S56" i="10"/>
  <c r="N56" i="10"/>
  <c r="AO108" i="10"/>
  <c r="G42" i="10"/>
  <c r="L23" i="15"/>
  <c r="AI36" i="10"/>
  <c r="K14" i="15"/>
  <c r="O44" i="10"/>
  <c r="AM73" i="10"/>
  <c r="G46" i="10"/>
  <c r="L29" i="15"/>
  <c r="AI46" i="10"/>
  <c r="K29" i="15"/>
  <c r="R46" i="10"/>
  <c r="N42" i="10"/>
  <c r="AO66" i="10"/>
  <c r="T44" i="10"/>
  <c r="P44" i="10"/>
  <c r="AO74" i="10"/>
  <c r="N58" i="10"/>
  <c r="AO114" i="10"/>
  <c r="P58" i="10"/>
  <c r="AO116" i="10"/>
  <c r="G44" i="10"/>
  <c r="L26" i="15"/>
  <c r="G52" i="10"/>
  <c r="L38" i="15"/>
  <c r="AI52" i="10"/>
  <c r="K38" i="15"/>
  <c r="G58" i="10"/>
  <c r="L47" i="15"/>
  <c r="S58" i="10"/>
  <c r="G56" i="10"/>
  <c r="L44" i="15"/>
  <c r="N54" i="10"/>
  <c r="AO102" i="10"/>
  <c r="N52" i="10"/>
  <c r="AO96" i="10"/>
  <c r="K47" i="15"/>
  <c r="P50" i="10"/>
  <c r="AO92" i="10"/>
  <c r="O54" i="10"/>
  <c r="AM101" i="10"/>
  <c r="S54" i="10"/>
  <c r="P54" i="10"/>
  <c r="AM104" i="10"/>
  <c r="O52" i="10"/>
  <c r="AM95" i="10"/>
  <c r="R52" i="10"/>
  <c r="R50" i="10"/>
  <c r="G54" i="10"/>
  <c r="L41" i="15"/>
  <c r="S50" i="10"/>
  <c r="T58" i="10"/>
  <c r="T54" i="10"/>
  <c r="P52" i="10"/>
  <c r="AM98" i="10"/>
  <c r="N50" i="10"/>
  <c r="AM90" i="10"/>
  <c r="G50" i="10"/>
  <c r="L35" i="15"/>
  <c r="AI54" i="10"/>
  <c r="R58" i="10"/>
  <c r="T52" i="10"/>
  <c r="T50" i="10"/>
  <c r="O58" i="10"/>
  <c r="AO115" i="10"/>
  <c r="N38" i="10"/>
  <c r="AM54" i="10"/>
  <c r="K26" i="15"/>
  <c r="AI38" i="10"/>
  <c r="K17" i="15"/>
  <c r="K38" i="10"/>
  <c r="K40" i="10"/>
  <c r="K42" i="10"/>
  <c r="K44" i="10"/>
  <c r="K46" i="10"/>
  <c r="K48" i="10"/>
  <c r="K50" i="10"/>
  <c r="K52" i="10"/>
  <c r="K54" i="10"/>
  <c r="K56" i="10"/>
  <c r="K58" i="10"/>
  <c r="K60" i="10"/>
  <c r="T30" i="10"/>
  <c r="R38" i="10"/>
  <c r="AM50" i="10"/>
  <c r="T42" i="10"/>
  <c r="S42" i="10"/>
  <c r="R30" i="10"/>
  <c r="P30" i="10"/>
  <c r="AM32" i="10"/>
  <c r="R56" i="10"/>
  <c r="O56" i="10"/>
  <c r="AO112" i="10"/>
  <c r="P42" i="10"/>
  <c r="AM68" i="10"/>
  <c r="G30" i="10"/>
  <c r="L5" i="15"/>
  <c r="O42" i="10"/>
  <c r="AO70" i="10"/>
  <c r="N30" i="10"/>
  <c r="AM30" i="10"/>
  <c r="AI42" i="10"/>
  <c r="K23" i="15"/>
  <c r="AO50" i="10"/>
  <c r="S34" i="10"/>
  <c r="G38" i="10"/>
  <c r="L17" i="15"/>
  <c r="N40" i="10"/>
  <c r="AM60" i="10"/>
  <c r="P38" i="10"/>
  <c r="AN56" i="10"/>
  <c r="S38" i="10"/>
  <c r="T38" i="10"/>
  <c r="O40" i="10"/>
  <c r="AM61" i="10"/>
  <c r="R40" i="10"/>
  <c r="P34" i="10"/>
  <c r="AM44" i="10"/>
  <c r="N34" i="10"/>
  <c r="AN42" i="10"/>
  <c r="P40" i="10"/>
  <c r="AO62" i="10"/>
  <c r="G40" i="10"/>
  <c r="L20" i="15"/>
  <c r="AI40" i="10"/>
  <c r="K20" i="15"/>
  <c r="T34" i="10"/>
  <c r="S40" i="10"/>
  <c r="T32" i="10"/>
  <c r="O30" i="10"/>
  <c r="AO31" i="10"/>
  <c r="S32" i="10"/>
  <c r="O32" i="10"/>
  <c r="AM35" i="10"/>
  <c r="G32" i="10"/>
  <c r="L8" i="15"/>
  <c r="N32" i="10"/>
  <c r="AO36" i="10"/>
  <c r="AI30" i="10"/>
  <c r="K5" i="15"/>
  <c r="P32" i="10"/>
  <c r="AM38" i="10"/>
  <c r="R32" i="10"/>
  <c r="AI34" i="10"/>
  <c r="R34" i="10"/>
  <c r="G34" i="10"/>
  <c r="L11" i="15"/>
  <c r="L32" i="10"/>
  <c r="L30" i="10"/>
  <c r="L54" i="10"/>
  <c r="AO82" i="10"/>
  <c r="L46" i="10"/>
  <c r="L52" i="10"/>
  <c r="L56" i="10"/>
  <c r="AO79" i="10"/>
  <c r="AM77" i="10"/>
  <c r="AM82" i="10"/>
  <c r="AM55" i="10"/>
  <c r="L58" i="10"/>
  <c r="AO94" i="10"/>
  <c r="AM94" i="10"/>
  <c r="AM89" i="10"/>
  <c r="AO91" i="10"/>
  <c r="AM86" i="10"/>
  <c r="AN86" i="10"/>
  <c r="AO46" i="10"/>
  <c r="AM46" i="10"/>
  <c r="AO43" i="10"/>
  <c r="AM43" i="10"/>
  <c r="AM41" i="10"/>
  <c r="AM58" i="10"/>
  <c r="AO58" i="10"/>
  <c r="AM53" i="10"/>
  <c r="AO106" i="10"/>
  <c r="F6" i="16"/>
  <c r="G6" i="16"/>
  <c r="K6" i="16"/>
  <c r="Q6" i="16"/>
  <c r="D6" i="16"/>
  <c r="E6" i="16"/>
  <c r="J6" i="16"/>
  <c r="C6" i="16"/>
  <c r="L34" i="10"/>
  <c r="A7" i="16"/>
  <c r="AM106" i="10"/>
  <c r="AO120" i="10"/>
  <c r="AM120" i="10"/>
  <c r="L40" i="10"/>
  <c r="L38" i="10"/>
  <c r="A9" i="17"/>
  <c r="B8" i="17"/>
  <c r="C8" i="17"/>
  <c r="AJ56" i="10"/>
  <c r="M44" i="15"/>
  <c r="AJ58" i="10"/>
  <c r="M47" i="15"/>
  <c r="AO78" i="10"/>
  <c r="AO77" i="10"/>
  <c r="AO88" i="10"/>
  <c r="AM88" i="10"/>
  <c r="AM124" i="10"/>
  <c r="AO48" i="10"/>
  <c r="AO85" i="10"/>
  <c r="AO87" i="10"/>
  <c r="AJ32" i="10"/>
  <c r="M8" i="15"/>
  <c r="AJ48" i="10"/>
  <c r="M32" i="15"/>
  <c r="AJ44" i="10"/>
  <c r="M26" i="15"/>
  <c r="AO124" i="10"/>
  <c r="AM84" i="10"/>
  <c r="AM122" i="10"/>
  <c r="AO122" i="10"/>
  <c r="AO121" i="10"/>
  <c r="AM119" i="10"/>
  <c r="AM85" i="10"/>
  <c r="K50" i="15"/>
  <c r="AO100" i="10"/>
  <c r="AM72" i="10"/>
  <c r="AM80" i="10"/>
  <c r="AM81" i="10"/>
  <c r="AM112" i="10"/>
  <c r="AO80" i="10"/>
  <c r="AO81" i="10"/>
  <c r="AO49" i="10"/>
  <c r="AO51" i="10"/>
  <c r="AM52" i="10"/>
  <c r="AM108" i="10"/>
  <c r="AM49" i="10"/>
  <c r="AO52" i="10"/>
  <c r="AO110" i="10"/>
  <c r="AM110" i="10"/>
  <c r="AJ46" i="10"/>
  <c r="M29" i="15"/>
  <c r="AM66" i="10"/>
  <c r="AM114" i="10"/>
  <c r="AN116" i="10"/>
  <c r="AJ36" i="10"/>
  <c r="M14" i="15"/>
  <c r="AJ50" i="10"/>
  <c r="M35" i="15"/>
  <c r="M6" i="16"/>
  <c r="S6" i="16"/>
  <c r="P6" i="16"/>
  <c r="AO54" i="10"/>
  <c r="AO53" i="10"/>
  <c r="AO73" i="10"/>
  <c r="AO71" i="10"/>
  <c r="AN74" i="10"/>
  <c r="AO76" i="10"/>
  <c r="AM76" i="10"/>
  <c r="AO117" i="10"/>
  <c r="AM71" i="10"/>
  <c r="AO97" i="10"/>
  <c r="AO95" i="10"/>
  <c r="L6" i="16"/>
  <c r="R6" i="16"/>
  <c r="AO103" i="10"/>
  <c r="AO101" i="10"/>
  <c r="AM116" i="10"/>
  <c r="AM103" i="10"/>
  <c r="AM105" i="10"/>
  <c r="AM74" i="10"/>
  <c r="AM92" i="10"/>
  <c r="AM93" i="10"/>
  <c r="AO93" i="10"/>
  <c r="AJ52" i="10"/>
  <c r="M38" i="15"/>
  <c r="AN104" i="10"/>
  <c r="B7" i="16"/>
  <c r="F7" i="16"/>
  <c r="G7" i="16"/>
  <c r="K7" i="16"/>
  <c r="Q7" i="16"/>
  <c r="AM96" i="10"/>
  <c r="AO90" i="10"/>
  <c r="AO89" i="10"/>
  <c r="AM113" i="10"/>
  <c r="AM102" i="10"/>
  <c r="AN98" i="10"/>
  <c r="AN92" i="10"/>
  <c r="AM97" i="10"/>
  <c r="AO104" i="10"/>
  <c r="AO105" i="10"/>
  <c r="AO118" i="10"/>
  <c r="AM118" i="10"/>
  <c r="AM115" i="10"/>
  <c r="AM65" i="10"/>
  <c r="AM100" i="10"/>
  <c r="AM70" i="10"/>
  <c r="AO98" i="10"/>
  <c r="AJ54" i="10"/>
  <c r="M41" i="15"/>
  <c r="K41" i="15"/>
  <c r="AJ38" i="10"/>
  <c r="M17" i="15"/>
  <c r="AM42" i="10"/>
  <c r="AO34" i="10"/>
  <c r="AM31" i="10"/>
  <c r="AO67" i="10"/>
  <c r="AO65" i="10"/>
  <c r="AM67" i="10"/>
  <c r="AO30" i="10"/>
  <c r="AO29" i="10"/>
  <c r="AN30" i="10"/>
  <c r="AN34" i="10"/>
  <c r="AO56" i="10"/>
  <c r="AO57" i="10"/>
  <c r="AO109" i="10"/>
  <c r="AO107" i="10"/>
  <c r="AO42" i="10"/>
  <c r="AO41" i="10"/>
  <c r="AO32" i="10"/>
  <c r="AO33" i="10"/>
  <c r="AN32" i="10"/>
  <c r="AJ42" i="10"/>
  <c r="M23" i="15"/>
  <c r="AM59" i="10"/>
  <c r="AJ40" i="10"/>
  <c r="M20" i="15"/>
  <c r="AO64" i="10"/>
  <c r="AO61" i="10"/>
  <c r="AO63" i="10"/>
  <c r="AM64" i="10"/>
  <c r="AN68" i="10"/>
  <c r="AN31" i="10"/>
  <c r="AM107" i="10"/>
  <c r="AM34" i="10"/>
  <c r="AM109" i="10"/>
  <c r="AO44" i="10"/>
  <c r="AO45" i="10"/>
  <c r="AM62" i="10"/>
  <c r="AO68" i="10"/>
  <c r="AN44" i="10"/>
  <c r="AM56" i="10"/>
  <c r="AM57" i="10"/>
  <c r="AM36" i="10"/>
  <c r="AO60" i="10"/>
  <c r="AN62" i="10"/>
  <c r="AN37" i="10"/>
  <c r="AO37" i="10"/>
  <c r="AO35" i="10"/>
  <c r="AO40" i="10"/>
  <c r="AN40" i="10"/>
  <c r="AM37" i="10"/>
  <c r="AM40" i="10"/>
  <c r="AM29" i="10"/>
  <c r="AJ30" i="10"/>
  <c r="M5" i="15"/>
  <c r="AN38" i="10"/>
  <c r="AO38" i="10"/>
  <c r="AN36" i="10"/>
  <c r="G62" i="10"/>
  <c r="I9" i="17"/>
  <c r="I14" i="17"/>
  <c r="AJ34" i="10"/>
  <c r="M11" i="15"/>
  <c r="K11" i="15"/>
  <c r="AM45" i="10"/>
  <c r="AN43" i="10"/>
  <c r="AN41" i="10"/>
  <c r="AN46" i="10"/>
  <c r="J35" i="10"/>
  <c r="D7" i="16"/>
  <c r="E7" i="16"/>
  <c r="J7" i="16"/>
  <c r="J33" i="10"/>
  <c r="A8" i="16"/>
  <c r="AO113" i="10"/>
  <c r="AM87" i="10"/>
  <c r="A10" i="17"/>
  <c r="B9" i="17"/>
  <c r="C9" i="17"/>
  <c r="AO83" i="10"/>
  <c r="AO123" i="10"/>
  <c r="AM123" i="10"/>
  <c r="AO47" i="10"/>
  <c r="AO119" i="10"/>
  <c r="AM51" i="10"/>
  <c r="AM75" i="10"/>
  <c r="AO75" i="10"/>
  <c r="M7" i="16"/>
  <c r="S7" i="16"/>
  <c r="P7" i="16"/>
  <c r="L7" i="16"/>
  <c r="R7" i="16"/>
  <c r="AM117" i="10"/>
  <c r="AO99" i="10"/>
  <c r="AM99" i="10"/>
  <c r="C7" i="16"/>
  <c r="AM111" i="10"/>
  <c r="B8" i="16"/>
  <c r="F8" i="16"/>
  <c r="AN35" i="10"/>
  <c r="AM69" i="10"/>
  <c r="AO111" i="10"/>
  <c r="N22" i="10"/>
  <c r="AO59" i="10"/>
  <c r="AN33" i="10"/>
  <c r="AO69" i="10"/>
  <c r="AN29" i="10"/>
  <c r="AN39" i="10"/>
  <c r="AM33" i="10"/>
  <c r="AN45" i="10"/>
  <c r="AM63" i="10"/>
  <c r="M53" i="15"/>
  <c r="AO39" i="10"/>
  <c r="AM39" i="10"/>
  <c r="AN48" i="10"/>
  <c r="AN49" i="10"/>
  <c r="AN51" i="10"/>
  <c r="A9" i="16"/>
  <c r="AN52" i="10"/>
  <c r="D8" i="16"/>
  <c r="E8" i="16"/>
  <c r="J8" i="16"/>
  <c r="A11" i="17"/>
  <c r="B10" i="17"/>
  <c r="C10" i="17"/>
  <c r="W22" i="10"/>
  <c r="G64" i="10"/>
  <c r="M8" i="16"/>
  <c r="S8" i="16"/>
  <c r="P8" i="16"/>
  <c r="C8" i="16"/>
  <c r="D9" i="16"/>
  <c r="E9" i="16"/>
  <c r="J9" i="16"/>
  <c r="P9" i="16"/>
  <c r="A10" i="16"/>
  <c r="D10" i="16"/>
  <c r="E10" i="16"/>
  <c r="J10" i="16"/>
  <c r="P10" i="16"/>
  <c r="AN47" i="10"/>
  <c r="B9" i="16"/>
  <c r="C9" i="16"/>
  <c r="AN58" i="10"/>
  <c r="AN60" i="10"/>
  <c r="AN55" i="10"/>
  <c r="AN57" i="10"/>
  <c r="AN54" i="10"/>
  <c r="G8" i="16"/>
  <c r="K8" i="16"/>
  <c r="I15" i="17"/>
  <c r="I16" i="17"/>
  <c r="B11" i="17"/>
  <c r="A12" i="17"/>
  <c r="C11" i="17"/>
  <c r="B10" i="16"/>
  <c r="C10" i="16"/>
  <c r="L8" i="16"/>
  <c r="R8" i="16"/>
  <c r="Q8" i="16"/>
  <c r="M9" i="16"/>
  <c r="S9" i="16"/>
  <c r="M10" i="16"/>
  <c r="S10" i="16"/>
  <c r="AN53" i="10"/>
  <c r="A11" i="16"/>
  <c r="A12" i="16"/>
  <c r="F9" i="16"/>
  <c r="G9" i="16"/>
  <c r="K9" i="16"/>
  <c r="AN66" i="10"/>
  <c r="J39" i="10"/>
  <c r="AN61" i="10"/>
  <c r="AN63" i="10"/>
  <c r="J37" i="10"/>
  <c r="AN64" i="10"/>
  <c r="AN67" i="10"/>
  <c r="AN69" i="10"/>
  <c r="B12" i="17"/>
  <c r="C12" i="17"/>
  <c r="A13" i="17"/>
  <c r="F10" i="16"/>
  <c r="G10" i="16"/>
  <c r="K10" i="16"/>
  <c r="Q10" i="16"/>
  <c r="B11" i="16"/>
  <c r="C11" i="16"/>
  <c r="L9" i="16"/>
  <c r="R9" i="16"/>
  <c r="Q9" i="16"/>
  <c r="D11" i="16"/>
  <c r="E11" i="16"/>
  <c r="J11" i="16"/>
  <c r="AN59" i="10"/>
  <c r="J41" i="10"/>
  <c r="AN70" i="10"/>
  <c r="B12" i="16"/>
  <c r="F12" i="16"/>
  <c r="D12" i="16"/>
  <c r="E12" i="16"/>
  <c r="J12" i="16"/>
  <c r="AN65" i="10"/>
  <c r="A13" i="16"/>
  <c r="AN72" i="10"/>
  <c r="AN73" i="10"/>
  <c r="AN75" i="10"/>
  <c r="AN76" i="10"/>
  <c r="J43" i="10"/>
  <c r="B13" i="17"/>
  <c r="C13" i="17"/>
  <c r="A14" i="17"/>
  <c r="F11" i="16"/>
  <c r="G11" i="16"/>
  <c r="L10" i="16"/>
  <c r="R10" i="16"/>
  <c r="M11" i="16"/>
  <c r="S11" i="16"/>
  <c r="P11" i="16"/>
  <c r="M12" i="16"/>
  <c r="S12" i="16"/>
  <c r="P12" i="16"/>
  <c r="G12" i="16"/>
  <c r="K12" i="16"/>
  <c r="C12" i="16"/>
  <c r="D13" i="16"/>
  <c r="E13" i="16"/>
  <c r="J13" i="16"/>
  <c r="B13" i="16"/>
  <c r="AN71" i="10"/>
  <c r="A14" i="16"/>
  <c r="AN79" i="10"/>
  <c r="AN81" i="10"/>
  <c r="AN78" i="10"/>
  <c r="AN82" i="10"/>
  <c r="J45" i="10"/>
  <c r="B14" i="17"/>
  <c r="C14" i="17"/>
  <c r="A15" i="17"/>
  <c r="M13" i="16"/>
  <c r="S13" i="16"/>
  <c r="P13" i="16"/>
  <c r="L12" i="16"/>
  <c r="R12" i="16"/>
  <c r="Q12" i="16"/>
  <c r="K11" i="16"/>
  <c r="F13" i="16"/>
  <c r="D14" i="16"/>
  <c r="E14" i="16"/>
  <c r="J14" i="16"/>
  <c r="C13" i="16"/>
  <c r="B14" i="16"/>
  <c r="F14" i="16"/>
  <c r="G14" i="16"/>
  <c r="K14" i="16"/>
  <c r="Q14" i="16"/>
  <c r="AN77" i="10"/>
  <c r="A15" i="16"/>
  <c r="AN85" i="10"/>
  <c r="AN87" i="10"/>
  <c r="AN84" i="10"/>
  <c r="AN88" i="10"/>
  <c r="J47" i="10"/>
  <c r="A16" i="17"/>
  <c r="B15" i="17"/>
  <c r="C15" i="17"/>
  <c r="M14" i="16"/>
  <c r="S14" i="16"/>
  <c r="P14" i="16"/>
  <c r="L11" i="16"/>
  <c r="R11" i="16"/>
  <c r="Q11" i="16"/>
  <c r="L14" i="16"/>
  <c r="R14" i="16"/>
  <c r="G13" i="16"/>
  <c r="K13" i="16"/>
  <c r="D15" i="16"/>
  <c r="E15" i="16"/>
  <c r="J15" i="16"/>
  <c r="C14" i="16"/>
  <c r="B15" i="16"/>
  <c r="AN83" i="10"/>
  <c r="A16" i="16"/>
  <c r="AN90" i="10"/>
  <c r="AN91" i="10"/>
  <c r="AN93" i="10"/>
  <c r="AN94" i="10"/>
  <c r="J48" i="10"/>
  <c r="A17" i="17"/>
  <c r="B16" i="17"/>
  <c r="C16" i="17"/>
  <c r="M15" i="16"/>
  <c r="S15" i="16"/>
  <c r="P15" i="16"/>
  <c r="L13" i="16"/>
  <c r="R13" i="16"/>
  <c r="Q13" i="16"/>
  <c r="F15" i="16"/>
  <c r="D16" i="16"/>
  <c r="E16" i="16"/>
  <c r="J16" i="16"/>
  <c r="C15" i="16"/>
  <c r="B16" i="16"/>
  <c r="F16" i="16"/>
  <c r="AN89" i="10"/>
  <c r="AN96" i="10"/>
  <c r="AN100" i="10"/>
  <c r="AN97" i="10"/>
  <c r="AN99" i="10"/>
  <c r="J51" i="10"/>
  <c r="J50" i="10"/>
  <c r="J49" i="10"/>
  <c r="A17" i="16"/>
  <c r="B17" i="17"/>
  <c r="C17" i="17"/>
  <c r="A18" i="17"/>
  <c r="M16" i="16"/>
  <c r="S16" i="16"/>
  <c r="P16" i="16"/>
  <c r="G16" i="16"/>
  <c r="K16" i="16"/>
  <c r="G15" i="16"/>
  <c r="D17" i="16"/>
  <c r="E17" i="16"/>
  <c r="J17" i="16"/>
  <c r="C16" i="16"/>
  <c r="B17" i="16"/>
  <c r="AN95" i="10"/>
  <c r="A18" i="16"/>
  <c r="AN102" i="10"/>
  <c r="AN106" i="10"/>
  <c r="AN103" i="10"/>
  <c r="AN105" i="10"/>
  <c r="J53" i="10"/>
  <c r="J52" i="10"/>
  <c r="B18" i="17"/>
  <c r="C18" i="17"/>
  <c r="A19" i="17"/>
  <c r="M17" i="16"/>
  <c r="S17" i="16"/>
  <c r="P17" i="16"/>
  <c r="L16" i="16"/>
  <c r="R16" i="16"/>
  <c r="Q16" i="16"/>
  <c r="K15" i="16"/>
  <c r="F17" i="16"/>
  <c r="D18" i="16"/>
  <c r="E18" i="16"/>
  <c r="J18" i="16"/>
  <c r="C17" i="16"/>
  <c r="B18" i="16"/>
  <c r="F18" i="16"/>
  <c r="AN101" i="10"/>
  <c r="A19" i="16"/>
  <c r="AN108" i="10"/>
  <c r="AN112" i="10"/>
  <c r="AN109" i="10"/>
  <c r="AN111" i="10"/>
  <c r="J54" i="10"/>
  <c r="J55" i="10"/>
  <c r="A20" i="17"/>
  <c r="B19" i="17"/>
  <c r="C19" i="17"/>
  <c r="L15" i="16"/>
  <c r="R15" i="16"/>
  <c r="Q15" i="16"/>
  <c r="M18" i="16"/>
  <c r="S18" i="16"/>
  <c r="P18" i="16"/>
  <c r="G18" i="16"/>
  <c r="K18" i="16"/>
  <c r="G17" i="16"/>
  <c r="D19" i="16"/>
  <c r="E19" i="16"/>
  <c r="J19" i="16"/>
  <c r="C18" i="16"/>
  <c r="B19" i="16"/>
  <c r="F19" i="16"/>
  <c r="AN107" i="10"/>
  <c r="AN114" i="10"/>
  <c r="AN118" i="10"/>
  <c r="AN115" i="10"/>
  <c r="AN117" i="10"/>
  <c r="J56" i="10"/>
  <c r="J57" i="10"/>
  <c r="A20" i="16"/>
  <c r="B20" i="17"/>
  <c r="C20" i="17"/>
  <c r="A21" i="17"/>
  <c r="L18" i="16"/>
  <c r="R18" i="16"/>
  <c r="Q18" i="16"/>
  <c r="M19" i="16"/>
  <c r="S19" i="16"/>
  <c r="P19" i="16"/>
  <c r="K17" i="16"/>
  <c r="G19" i="16"/>
  <c r="K19" i="16"/>
  <c r="D20" i="16"/>
  <c r="E20" i="16"/>
  <c r="J20" i="16"/>
  <c r="C19" i="16"/>
  <c r="B20" i="16"/>
  <c r="F20" i="16"/>
  <c r="AN113" i="10"/>
  <c r="A21" i="16"/>
  <c r="AN120" i="10"/>
  <c r="AN124" i="10"/>
  <c r="AN121" i="10"/>
  <c r="AN123" i="10"/>
  <c r="J59" i="10"/>
  <c r="J58" i="10"/>
  <c r="A22" i="17"/>
  <c r="B21" i="17"/>
  <c r="C21" i="17"/>
  <c r="L19" i="16"/>
  <c r="R19" i="16"/>
  <c r="Q19" i="16"/>
  <c r="L17" i="16"/>
  <c r="R17" i="16"/>
  <c r="Q17" i="16"/>
  <c r="M20" i="16"/>
  <c r="S20" i="16"/>
  <c r="P20" i="16"/>
  <c r="G20" i="16"/>
  <c r="K20" i="16"/>
  <c r="D21" i="16"/>
  <c r="E21" i="16"/>
  <c r="J21" i="16"/>
  <c r="C20" i="16"/>
  <c r="B21" i="16"/>
  <c r="F21" i="16"/>
  <c r="AN119" i="10"/>
  <c r="AN125" i="10"/>
  <c r="J60" i="10"/>
  <c r="A22" i="16"/>
  <c r="A23" i="17"/>
  <c r="B23" i="17"/>
  <c r="B22" i="17"/>
  <c r="C23" i="17"/>
  <c r="C22" i="17"/>
  <c r="I10" i="17"/>
  <c r="M21" i="16"/>
  <c r="S21" i="16"/>
  <c r="P21" i="16"/>
  <c r="L20" i="16"/>
  <c r="R20" i="16"/>
  <c r="Q20" i="16"/>
  <c r="G21" i="16"/>
  <c r="K21" i="16"/>
  <c r="D22" i="16"/>
  <c r="E22" i="16"/>
  <c r="J22" i="16"/>
  <c r="C21" i="16"/>
  <c r="A23" i="16"/>
  <c r="B22" i="16"/>
  <c r="I12" i="17"/>
  <c r="N10" i="17"/>
  <c r="I11" i="17"/>
  <c r="M22" i="16"/>
  <c r="S22" i="16"/>
  <c r="P22" i="16"/>
  <c r="L21" i="16"/>
  <c r="R21" i="16"/>
  <c r="Q21" i="16"/>
  <c r="F22" i="16"/>
  <c r="D23" i="16"/>
  <c r="E23" i="16"/>
  <c r="J23" i="16"/>
  <c r="C22" i="16"/>
  <c r="B23" i="16"/>
  <c r="F23" i="16"/>
  <c r="M23" i="16"/>
  <c r="S23" i="16"/>
  <c r="P23" i="16"/>
  <c r="G23" i="16"/>
  <c r="K23" i="16"/>
  <c r="G22" i="16"/>
  <c r="C23" i="16"/>
  <c r="L23" i="16"/>
  <c r="R23" i="16"/>
  <c r="Q23" i="16"/>
  <c r="K22" i="16"/>
  <c r="L22" i="16"/>
  <c r="R22" i="16"/>
  <c r="Q22" i="16"/>
</calcChain>
</file>

<file path=xl/comments1.xml><?xml version="1.0" encoding="utf-8"?>
<comments xmlns="http://schemas.openxmlformats.org/spreadsheetml/2006/main">
  <authors>
    <author>Aldo</author>
  </authors>
  <commentList>
    <comment ref="B11" authorId="0" shapeId="0">
      <text>
        <r>
          <rPr>
            <sz val="11"/>
            <color indexed="81"/>
            <rFont val="Calibri"/>
            <family val="2"/>
            <scheme val="minor"/>
          </rPr>
          <t>Las coordenadas Este corresponden al punto cartesiano X</t>
        </r>
      </text>
    </comment>
    <comment ref="B12" authorId="0" shapeId="0">
      <text>
        <r>
          <rPr>
            <sz val="11"/>
            <color indexed="81"/>
            <rFont val="Calibri"/>
            <family val="2"/>
            <scheme val="minor"/>
          </rPr>
          <t>Las coordenadas Norte pertenecen al punto cartesiano Y</t>
        </r>
      </text>
    </comment>
    <comment ref="B14" authorId="0" shapeId="0">
      <text>
        <r>
          <rPr>
            <b/>
            <sz val="11"/>
            <color indexed="81"/>
            <rFont val="Calibri"/>
            <family val="2"/>
            <scheme val="minor"/>
          </rPr>
          <t>Sugerencia:</t>
        </r>
        <r>
          <rPr>
            <sz val="11"/>
            <color indexed="81"/>
            <rFont val="Calibri"/>
            <family val="2"/>
            <scheme val="minor"/>
          </rPr>
          <t xml:space="preserve"> escribir la descripción del punto de aforo o del tramo que se está caracterizando para evaluar pérdidas</t>
        </r>
      </text>
    </comment>
    <comment ref="B17" authorId="0" shapeId="0">
      <text>
        <r>
          <rPr>
            <sz val="11"/>
            <color indexed="81"/>
            <rFont val="Calibri"/>
            <family val="2"/>
            <scheme val="minor"/>
          </rPr>
          <t xml:space="preserve">Esta prueba consiste en hacer girar el molinete con la mano y registrar el tiempo que se demora en detenerse. Si el tiempo que demora en detenerse por completo es bajo los 60 segundos, se debe limpiar el molinete debido a que no está en condiciones de ser utilizado para aforar </t>
        </r>
      </text>
    </comment>
    <comment ref="B20" authorId="0" shapeId="0">
      <text>
        <r>
          <rPr>
            <sz val="11"/>
            <color indexed="81"/>
            <rFont val="Calibri"/>
            <family val="2"/>
            <scheme val="minor"/>
          </rPr>
          <t>Registrar el dato de referencia en función a un punto arbitrario para hacer comparable los perfiles transversales</t>
        </r>
      </text>
    </comment>
    <comment ref="B23" authorId="0" shapeId="0">
      <text>
        <r>
          <rPr>
            <sz val="11"/>
            <color indexed="81"/>
            <rFont val="Calibri"/>
            <family val="2"/>
            <scheme val="minor"/>
          </rPr>
          <t>El número de subsecciones se calcula automáticamente dependiendo del ancho del canal, este valor está determinado en el ITC-09</t>
        </r>
      </text>
    </comment>
    <comment ref="R26" authorId="0" shapeId="0">
      <text>
        <r>
          <rPr>
            <sz val="11"/>
            <color indexed="81"/>
            <rFont val="Calibri"/>
            <family val="2"/>
            <scheme val="minor"/>
          </rPr>
          <t>Además de establecer la altura desde la lámina de agua a la base en cada uno de los puntos por vertical a evaluar, se incorpora el valor de la altura desde la base a la lámina de agua para facilitar el trabajo en terreno.</t>
        </r>
      </text>
    </comment>
    <comment ref="W26" authorId="0" shapeId="0">
      <text>
        <r>
          <rPr>
            <sz val="11"/>
            <color indexed="81"/>
            <rFont val="Calibri"/>
            <family val="2"/>
            <scheme val="minor"/>
          </rPr>
          <t>La planilla da la posibilidad de ingresar hasta tres velocidades por punto en la vertical. Se recomienda medir tres velocidades, ya que el promedio de estas es el que se utilizará en los cálculos. La razón radica en que mayor número de repeticiones da más fiabilidad al dato.</t>
        </r>
      </text>
    </comment>
    <comment ref="AI26" authorId="0" shapeId="0">
      <text>
        <r>
          <rPr>
            <sz val="11"/>
            <color indexed="81"/>
            <rFont val="Calibri"/>
            <family val="2"/>
            <scheme val="minor"/>
          </rPr>
          <t>En el caso que falten datos para el cálculo de velocidad aparecerá el mensaje "FALTAN DATOS"</t>
        </r>
      </text>
    </comment>
    <comment ref="C27" authorId="0" shapeId="0">
      <text>
        <r>
          <rPr>
            <sz val="11"/>
            <color indexed="81"/>
            <rFont val="Calibri"/>
            <family val="2"/>
            <scheme val="minor"/>
          </rPr>
          <t>Se deja libre el 50% del ancho de una subsección al comienzo y al final del perfil transversal a evaluar. El propósito de esto es evitar las interferencias en la velocidad provocadas por las paredes del canal</t>
        </r>
      </text>
    </comment>
    <comment ref="D27" authorId="0" shapeId="0">
      <text>
        <r>
          <rPr>
            <sz val="11"/>
            <color indexed="81"/>
            <rFont val="Calibri"/>
            <family val="2"/>
            <scheme val="minor"/>
          </rPr>
          <t>El dato de longitud acumulada se entrega para facilitar la determinación de las verticales</t>
        </r>
      </text>
    </comment>
    <comment ref="E27" authorId="0" shapeId="0">
      <text>
        <r>
          <rPr>
            <sz val="11"/>
            <color indexed="81"/>
            <rFont val="Calibri"/>
            <family val="2"/>
            <scheme val="minor"/>
          </rPr>
          <t>Insertar aquí la altura de cada una de las verticales determinadas</t>
        </r>
      </text>
    </comment>
    <comment ref="G27" authorId="0" shapeId="0">
      <text>
        <r>
          <rPr>
            <sz val="11"/>
            <color indexed="81"/>
            <rFont val="Calibri"/>
            <family val="2"/>
            <scheme val="minor"/>
          </rPr>
          <t>Área que representa la vertical evaluada</t>
        </r>
      </text>
    </comment>
    <comment ref="AR27" authorId="0" shapeId="0">
      <text>
        <r>
          <rPr>
            <sz val="11"/>
            <color indexed="81"/>
            <rFont val="Calibri"/>
            <family val="2"/>
            <scheme val="minor"/>
          </rPr>
          <t>Este recuadro permite visualizar por medio de colores las diferencias de velocidad a lo ancho del perfil</t>
        </r>
      </text>
    </comment>
  </commentList>
</comments>
</file>

<file path=xl/comments2.xml><?xml version="1.0" encoding="utf-8"?>
<comments xmlns="http://schemas.openxmlformats.org/spreadsheetml/2006/main">
  <authors>
    <author>Aldo</author>
  </authors>
  <commentList>
    <comment ref="B9" authorId="0" shapeId="0">
      <text>
        <r>
          <rPr>
            <sz val="11"/>
            <color indexed="81"/>
            <rFont val="Calibri"/>
            <family val="2"/>
            <scheme val="minor"/>
          </rPr>
          <t>Las coordenadas Este corresponden al punto cartesiano X</t>
        </r>
      </text>
    </comment>
    <comment ref="B10" authorId="0" shapeId="0">
      <text>
        <r>
          <rPr>
            <sz val="11"/>
            <color indexed="81"/>
            <rFont val="Calibri"/>
            <family val="2"/>
            <scheme val="minor"/>
          </rPr>
          <t>Las coordenadas Norte pertenecen al punto cartesiano Y</t>
        </r>
      </text>
    </comment>
    <comment ref="B11" authorId="0" shapeId="0">
      <text>
        <r>
          <rPr>
            <b/>
            <sz val="11"/>
            <color indexed="81"/>
            <rFont val="Calibri"/>
            <family val="2"/>
            <scheme val="minor"/>
          </rPr>
          <t>Sugerencia:</t>
        </r>
        <r>
          <rPr>
            <sz val="11"/>
            <color indexed="81"/>
            <rFont val="Calibri"/>
            <family val="2"/>
            <scheme val="minor"/>
          </rPr>
          <t xml:space="preserve"> escribir la descripción del punto de aforo o del tramo que se está caracterizando para evaluar pérdidas</t>
        </r>
      </text>
    </comment>
    <comment ref="B14" authorId="0" shapeId="0">
      <text>
        <r>
          <rPr>
            <sz val="11"/>
            <color indexed="81"/>
            <rFont val="Calibri"/>
            <family val="2"/>
            <scheme val="minor"/>
          </rPr>
          <t xml:space="preserve">Esta prueba consiste en hacer girar el molinete con la mano y registrar el tiempo que se demora en detenerse. Si el tiempo que demora en detenerse por completo es bajo los 60 segundos, se debe limpiar el molinete debido a que no está en condiciones de ser utilizado para aforar </t>
        </r>
      </text>
    </comment>
    <comment ref="B17" authorId="0" shapeId="0">
      <text>
        <r>
          <rPr>
            <sz val="11"/>
            <color indexed="81"/>
            <rFont val="Calibri"/>
            <family val="2"/>
            <scheme val="minor"/>
          </rPr>
          <t>Registrar el dato de referencia en función a un punto arbitrario para hacer comparable los perfiles transversales</t>
        </r>
      </text>
    </comment>
    <comment ref="B20" authorId="0" shapeId="0">
      <text>
        <r>
          <rPr>
            <sz val="11"/>
            <color indexed="81"/>
            <rFont val="Calibri"/>
            <family val="2"/>
            <scheme val="minor"/>
          </rPr>
          <t>El número de subsecciones se calcula automáticamente dependiendo del ancho del canal, este valor está determinado en el ITC-09</t>
        </r>
      </text>
    </comment>
    <comment ref="R23" authorId="0" shapeId="0">
      <text>
        <r>
          <rPr>
            <sz val="11"/>
            <color indexed="81"/>
            <rFont val="Calibri"/>
            <family val="2"/>
            <scheme val="minor"/>
          </rPr>
          <t>Además de establecer la altura desde la lámina de agua a la base en cada uno de los puntos por vertical a evaluar, se incorpora el valor de la altura desde la base a la lámina de agua para facilitar el trabajo en terreno.</t>
        </r>
      </text>
    </comment>
    <comment ref="W23" authorId="0" shapeId="0">
      <text>
        <r>
          <rPr>
            <sz val="11"/>
            <color indexed="81"/>
            <rFont val="Calibri"/>
            <family val="2"/>
            <scheme val="minor"/>
          </rPr>
          <t>La planilla da la posibilidad de ingresar hasta tres velocidades por punto en la vertical. Se recomienda medir tres velocidades, ya que el promedio de estas es el que se utilizará en los cálculos. La razón radica en que mayor número de repeticiones da más fiabilidad al dato.</t>
        </r>
      </text>
    </comment>
    <comment ref="AI23" authorId="0" shapeId="0">
      <text>
        <r>
          <rPr>
            <sz val="11"/>
            <color indexed="81"/>
            <rFont val="Calibri"/>
            <family val="2"/>
            <scheme val="minor"/>
          </rPr>
          <t>En el caso que falten datos para el cálculo de velocidad aparecerá el mensaje "FALTAN DATOS"</t>
        </r>
      </text>
    </comment>
    <comment ref="C24" authorId="0" shapeId="0">
      <text>
        <r>
          <rPr>
            <sz val="11"/>
            <color indexed="81"/>
            <rFont val="Calibri"/>
            <family val="2"/>
            <scheme val="minor"/>
          </rPr>
          <t>Se deja libre el 50% del ancho de una subsección al comienzo y al final del perfil transversal a evaluar. El propósito de esto es evitar las interferencias en la velocidad provocadas por las paredes del canal</t>
        </r>
      </text>
    </comment>
    <comment ref="D24" authorId="0" shapeId="0">
      <text>
        <r>
          <rPr>
            <sz val="11"/>
            <color indexed="81"/>
            <rFont val="Calibri"/>
            <family val="2"/>
            <scheme val="minor"/>
          </rPr>
          <t>El dato de longitud acumulada se entrega para facilitar la determinación de las verticales</t>
        </r>
      </text>
    </comment>
    <comment ref="E24" authorId="0" shapeId="0">
      <text>
        <r>
          <rPr>
            <sz val="11"/>
            <color indexed="81"/>
            <rFont val="Calibri"/>
            <family val="2"/>
            <scheme val="minor"/>
          </rPr>
          <t>Insertar aquí la altura de cada una de las verticales determinadas</t>
        </r>
      </text>
    </comment>
    <comment ref="G24" authorId="0" shapeId="0">
      <text>
        <r>
          <rPr>
            <sz val="11"/>
            <color indexed="81"/>
            <rFont val="Calibri"/>
            <family val="2"/>
            <scheme val="minor"/>
          </rPr>
          <t>Área que representa la vertical evaluada</t>
        </r>
      </text>
    </comment>
    <comment ref="AR24" authorId="0" shapeId="0">
      <text>
        <r>
          <rPr>
            <sz val="11"/>
            <color indexed="81"/>
            <rFont val="Calibri"/>
            <family val="2"/>
            <scheme val="minor"/>
          </rPr>
          <t>Este recuadro permite visualizar por medio de colores las diferencias de velocidad a lo ancho del perfil</t>
        </r>
      </text>
    </comment>
  </commentList>
</comments>
</file>

<file path=xl/sharedStrings.xml><?xml version="1.0" encoding="utf-8"?>
<sst xmlns="http://schemas.openxmlformats.org/spreadsheetml/2006/main" count="538" uniqueCount="162">
  <si>
    <t>Subsección</t>
  </si>
  <si>
    <t>Inicial</t>
  </si>
  <si>
    <t>0,2 h</t>
  </si>
  <si>
    <t>0,6 h</t>
  </si>
  <si>
    <t>0,8 h</t>
  </si>
  <si>
    <t>Número de subsecciones</t>
  </si>
  <si>
    <t>Ancho de subsección (m)</t>
  </si>
  <si>
    <t>Ancho del canal (m)</t>
  </si>
  <si>
    <t>CAUDAL (l/seg)</t>
  </si>
  <si>
    <t>NO APLICA</t>
  </si>
  <si>
    <t>VELOCIDAD (m/s)</t>
  </si>
  <si>
    <t>Velocidad final (m/s)</t>
  </si>
  <si>
    <t>Caudal por horizontal (m3/s)</t>
  </si>
  <si>
    <t>Lámina de agua</t>
  </si>
  <si>
    <t>Base</t>
  </si>
  <si>
    <t>L Acumulado</t>
  </si>
  <si>
    <t>0,2 h (1)</t>
  </si>
  <si>
    <t>0,2 h (2)</t>
  </si>
  <si>
    <t>0,2 h (3)</t>
  </si>
  <si>
    <t>0,6 h (1)</t>
  </si>
  <si>
    <t>0,6 h (2)</t>
  </si>
  <si>
    <t>0,6 h (3)</t>
  </si>
  <si>
    <t>0,8 h (1)</t>
  </si>
  <si>
    <t>0,8 h (2)</t>
  </si>
  <si>
    <t>0,8 h (3)</t>
  </si>
  <si>
    <t>VELOCIDAD PROMEDIO (m/s)</t>
  </si>
  <si>
    <t>Nombre de Canal</t>
  </si>
  <si>
    <t>Fecha</t>
  </si>
  <si>
    <t>Coordenada ESTE</t>
  </si>
  <si>
    <t>Coordenada NORTE</t>
  </si>
  <si>
    <t>Observaciones</t>
  </si>
  <si>
    <t>Financiado por</t>
  </si>
  <si>
    <t>Esta planilla está basada en el Instructivo de aforo en canales no revestidos ITC-09 (Comisión Nacional de Riego) para postulaciones a la Ley N° 18.450.</t>
  </si>
  <si>
    <t>Longitud acumulada (m)</t>
  </si>
  <si>
    <t>Nota: Esta planilla está hecha para canales  con un ancho hasta 7,99 m (máximo 16 subsecciones).</t>
  </si>
  <si>
    <t>ALTURA DESDE LÁMINA DE AGUA A BASE (m)</t>
  </si>
  <si>
    <t>ALTURA DESDE BASE A LÁMINA DE AGUA (m)</t>
  </si>
  <si>
    <r>
      <t>CAUDAL (m</t>
    </r>
    <r>
      <rPr>
        <vertAlign val="superscript"/>
        <sz val="20"/>
        <color theme="1"/>
        <rFont val="Calibri"/>
        <family val="2"/>
        <scheme val="minor"/>
      </rPr>
      <t>3</t>
    </r>
    <r>
      <rPr>
        <sz val="20"/>
        <color theme="1"/>
        <rFont val="Calibri"/>
        <family val="2"/>
        <scheme val="minor"/>
      </rPr>
      <t>/seg)</t>
    </r>
  </si>
  <si>
    <r>
      <rPr>
        <b/>
        <sz val="16"/>
        <rFont val="Calibri"/>
        <family val="2"/>
        <scheme val="minor"/>
      </rPr>
      <t>Instrucciones</t>
    </r>
    <r>
      <rPr>
        <sz val="16"/>
        <rFont val="Calibri"/>
        <family val="2"/>
        <scheme val="minor"/>
      </rPr>
      <t>: Rellene sólo las celdas de color amarillo. La información correspondiente al nombre de canal, fecha, hora, coordenadas y observaciones es OPTATIVA. El ancho del canal, la altura de las verticales y la velocidad en los puntos correspondientes de cada vertical es OBLIGATORIA. El caudal resultante está expresado en m</t>
    </r>
    <r>
      <rPr>
        <vertAlign val="superscript"/>
        <sz val="16"/>
        <rFont val="Calibri"/>
        <family val="2"/>
        <scheme val="minor"/>
      </rPr>
      <t>3</t>
    </r>
    <r>
      <rPr>
        <sz val="16"/>
        <rFont val="Calibri"/>
        <family val="2"/>
        <scheme val="minor"/>
      </rPr>
      <t>/seg y l/seg.</t>
    </r>
  </si>
  <si>
    <r>
      <t>Subárea (m</t>
    </r>
    <r>
      <rPr>
        <b/>
        <vertAlign val="superscript"/>
        <sz val="11"/>
        <color theme="1"/>
        <rFont val="Calibri"/>
        <family val="2"/>
        <scheme val="minor"/>
      </rPr>
      <t>2</t>
    </r>
    <r>
      <rPr>
        <b/>
        <sz val="11"/>
        <color theme="1"/>
        <rFont val="Calibri"/>
        <family val="2"/>
        <scheme val="minor"/>
      </rPr>
      <t>)</t>
    </r>
  </si>
  <si>
    <t>Comentarios, dudas o sugerencias: prommra@userena.cl</t>
  </si>
  <si>
    <t>1 (lámina)</t>
  </si>
  <si>
    <t>0,8 (0,2h)</t>
  </si>
  <si>
    <t>0,4 (0,6h)</t>
  </si>
  <si>
    <t>0,2 (0,8h)</t>
  </si>
  <si>
    <t>0 (base)</t>
  </si>
  <si>
    <t>Inicio</t>
  </si>
  <si>
    <t>Tipo</t>
  </si>
  <si>
    <t>Punto</t>
  </si>
  <si>
    <t>Atura (Y)</t>
  </si>
  <si>
    <t>Ancho acumulado (X)</t>
  </si>
  <si>
    <t>Velocidad (Z)</t>
  </si>
  <si>
    <t>0,1 (0,9h)</t>
  </si>
  <si>
    <t>0,6h</t>
  </si>
  <si>
    <t>0,2h</t>
  </si>
  <si>
    <t>Concentración de velocidades en el perfil transversal</t>
  </si>
  <si>
    <t>Vertical</t>
  </si>
  <si>
    <t>Nota: Los valores de color verde son los más altos; los de color rojos, los más bajos</t>
  </si>
  <si>
    <t>Final</t>
  </si>
  <si>
    <t>Hora Inicio Aforo</t>
  </si>
  <si>
    <t>Hora Término Aforo</t>
  </si>
  <si>
    <t>Izquierda</t>
  </si>
  <si>
    <t>Derecha</t>
  </si>
  <si>
    <t>Altura Lámina a referencia (m)</t>
  </si>
  <si>
    <t>Prueba del molinete (seg)</t>
  </si>
  <si>
    <t>"Diseño y puesta en marcha de un sistema de monitoreo de caudales y de un protocolo de determinación de pérdidas de agua para la priorización de las inversiones público - privadas"</t>
  </si>
  <si>
    <t>Nombre del Canal</t>
  </si>
  <si>
    <t>Tipo molinete</t>
  </si>
  <si>
    <t>Otro</t>
  </si>
  <si>
    <t>Molinete digital</t>
  </si>
  <si>
    <t>Molinete electromagnético</t>
  </si>
  <si>
    <t>Nombre operador</t>
  </si>
  <si>
    <t>Nombre Operador</t>
  </si>
  <si>
    <r>
      <t>Área por subsección (m</t>
    </r>
    <r>
      <rPr>
        <b/>
        <vertAlign val="superscript"/>
        <sz val="11"/>
        <color theme="1"/>
        <rFont val="Calibri"/>
        <family val="2"/>
        <scheme val="minor"/>
      </rPr>
      <t>2</t>
    </r>
    <r>
      <rPr>
        <b/>
        <sz val="11"/>
        <color theme="1"/>
        <rFont val="Calibri"/>
        <family val="2"/>
        <scheme val="minor"/>
      </rPr>
      <t>)</t>
    </r>
  </si>
  <si>
    <t>PROFUNDIDAD DESDE LÁMINA DE AGUA A BASE (m)</t>
  </si>
  <si>
    <t>Caudal por subsección (m3/s)</t>
  </si>
  <si>
    <t>Longitud entre verticales (m)</t>
  </si>
  <si>
    <t>Profundidad vertical (m)</t>
  </si>
  <si>
    <t>CANAL</t>
  </si>
  <si>
    <t>LOCALIZACIÓN (sector, comuna)             :</t>
  </si>
  <si>
    <t>KILOMETRAJE (inicio o término)              :</t>
  </si>
  <si>
    <t>Croquis Sección de Aforo</t>
  </si>
  <si>
    <t>HORA  :</t>
  </si>
  <si>
    <t>FECHA :</t>
  </si>
  <si>
    <t>COORDENADAS</t>
  </si>
  <si>
    <t>N (m)     :</t>
  </si>
  <si>
    <t>DIMENSIONES DE LA SECCION</t>
  </si>
  <si>
    <t>E (m)     :</t>
  </si>
  <si>
    <t>Huso     :</t>
  </si>
  <si>
    <t xml:space="preserve">Ancho L  : </t>
  </si>
  <si>
    <t>SECCION REVESTIDA</t>
  </si>
  <si>
    <t>Talud      :</t>
  </si>
  <si>
    <t>Si</t>
  </si>
  <si>
    <t>No</t>
  </si>
  <si>
    <t>Nº orden</t>
  </si>
  <si>
    <r>
      <t>h</t>
    </r>
    <r>
      <rPr>
        <vertAlign val="subscript"/>
        <sz val="11"/>
        <rFont val="Calibri"/>
        <family val="2"/>
      </rPr>
      <t>sección</t>
    </r>
  </si>
  <si>
    <t>Numero de vueltas</t>
  </si>
  <si>
    <t>Velocidad  (m/s)</t>
  </si>
  <si>
    <t>(m)</t>
  </si>
  <si>
    <t>OBS:</t>
  </si>
  <si>
    <t>Consultor</t>
  </si>
  <si>
    <t>Beneficiario</t>
  </si>
  <si>
    <t>Supervisor</t>
  </si>
  <si>
    <t>Nombre y firma</t>
  </si>
  <si>
    <t>ACTA DE TERRENO - SUPERVISIÓN AFOROS EN CANALES - LEY Nº 18.450</t>
  </si>
  <si>
    <t>m</t>
  </si>
  <si>
    <t>Huso</t>
  </si>
  <si>
    <t>Localización (sector, comuna)</t>
  </si>
  <si>
    <t>Kilometraje (inicio, término)</t>
  </si>
  <si>
    <t>Término</t>
  </si>
  <si>
    <r>
      <t>Caudal Sección (m</t>
    </r>
    <r>
      <rPr>
        <b/>
        <vertAlign val="superscript"/>
        <sz val="11"/>
        <color theme="1"/>
        <rFont val="Calibri"/>
        <family val="2"/>
        <scheme val="minor"/>
      </rPr>
      <t>3</t>
    </r>
    <r>
      <rPr>
        <b/>
        <sz val="11"/>
        <color theme="1"/>
        <rFont val="Calibri"/>
        <family val="2"/>
        <scheme val="minor"/>
      </rPr>
      <t>/s)</t>
    </r>
  </si>
  <si>
    <t>0, 8h</t>
  </si>
  <si>
    <t>h sección (m)</t>
  </si>
  <si>
    <t>Velocidad media (m/s)</t>
  </si>
  <si>
    <t>Velocidad (m/s)</t>
  </si>
  <si>
    <r>
      <t>Área escurrimiento (m</t>
    </r>
    <r>
      <rPr>
        <b/>
        <vertAlign val="superscript"/>
        <sz val="10"/>
        <color theme="1"/>
        <rFont val="Calibri"/>
        <family val="2"/>
        <scheme val="minor"/>
      </rPr>
      <t>2</t>
    </r>
    <r>
      <rPr>
        <b/>
        <sz val="10"/>
        <color theme="1"/>
        <rFont val="Calibri"/>
        <family val="2"/>
        <scheme val="minor"/>
      </rPr>
      <t>)</t>
    </r>
  </si>
  <si>
    <r>
      <t>Caudal (m</t>
    </r>
    <r>
      <rPr>
        <b/>
        <vertAlign val="superscript"/>
        <sz val="10"/>
        <color theme="1"/>
        <rFont val="Calibri"/>
        <family val="2"/>
        <scheme val="minor"/>
      </rPr>
      <t>3</t>
    </r>
    <r>
      <rPr>
        <b/>
        <sz val="10"/>
        <color theme="1"/>
        <rFont val="Calibri"/>
        <family val="2"/>
        <scheme val="minor"/>
      </rPr>
      <t>/s)</t>
    </r>
  </si>
  <si>
    <t>Autor: Aldo Tapia A.</t>
  </si>
  <si>
    <t>Las hojas 'Tabla de cálculo' y 'Acta de terreno' no son modificables, sólo imprimibles.</t>
  </si>
  <si>
    <t>Vértices</t>
  </si>
  <si>
    <t>X</t>
  </si>
  <si>
    <t>Y</t>
  </si>
  <si>
    <t>Área total</t>
  </si>
  <si>
    <t>Puntos AutoCAD</t>
  </si>
  <si>
    <t>X1</t>
  </si>
  <si>
    <t>X2</t>
  </si>
  <si>
    <t>Y1</t>
  </si>
  <si>
    <t>Y2</t>
  </si>
  <si>
    <t>Punto superior vertical AutoCAD</t>
  </si>
  <si>
    <t>X0</t>
  </si>
  <si>
    <t>Y0</t>
  </si>
  <si>
    <t>Y0b</t>
  </si>
  <si>
    <t>Intrucciones para añadir puntos a AutoCAD</t>
  </si>
  <si>
    <t>Trazar área: para trazar el área en AutoCAD se debe ingresar el comando 'POL' en la ventana Línea de comando. Luego, se debe copiar la columna "Puntos AutoCAD" y copiarla en la Línea de comando. Para cerrar el polígono se debe escribir 'C' en la Línea de comando y presionar la tecla enter.</t>
  </si>
  <si>
    <t>Con el apoyo de</t>
  </si>
  <si>
    <t>Número de Froude en canales abiertos</t>
  </si>
  <si>
    <t>Área (A)</t>
  </si>
  <si>
    <t>Perímetro mojado (P)</t>
  </si>
  <si>
    <t>Perímetro</t>
  </si>
  <si>
    <t>Ancho Superior (T)</t>
  </si>
  <si>
    <t>Radio hidráulico (R)</t>
  </si>
  <si>
    <t>Profundidad hidráulica (D)</t>
  </si>
  <si>
    <t>Número de Froude (FR)</t>
  </si>
  <si>
    <t>Régimen de flujo</t>
  </si>
  <si>
    <t>Número de Reynolds</t>
  </si>
  <si>
    <t>Distancia</t>
  </si>
  <si>
    <t>Temperatura</t>
  </si>
  <si>
    <t>Viscocidad cinemática</t>
  </si>
  <si>
    <t>°C</t>
  </si>
  <si>
    <t>(adimensional)</t>
  </si>
  <si>
    <r>
      <t>m</t>
    </r>
    <r>
      <rPr>
        <b/>
        <vertAlign val="superscript"/>
        <sz val="11"/>
        <color theme="6" tint="-0.499984740745262"/>
        <rFont val="Calibri"/>
        <family val="2"/>
        <scheme val="minor"/>
      </rPr>
      <t>2</t>
    </r>
  </si>
  <si>
    <t>N° Orden</t>
  </si>
  <si>
    <t>PROMMRA Q-CANAL (versión preliminar)</t>
  </si>
  <si>
    <t>Para el cálculo del número de Reynolds se debe ingresar la temperatura del agua en °C. De no poseer dicho valor se debe ingresar una temperatura estimada. Esta fórmula está ajustada para temperaturas entre 0 y 30°C.</t>
  </si>
  <si>
    <t>Dibujar verticales: para trazar el área en AutoCAD se debe ingresar el comando 'LIN' en la ventana Línea de comando. Luego, se deben copiar los datos de las columnas "Puntos AutoCAD" y "Punto superior vertical AutoCAD"  y pegarlas en la Línea de comando. Para cerrar la línea se debe clickear la tecla ESC o dos veces ENTER.</t>
  </si>
  <si>
    <t>19 s</t>
  </si>
  <si>
    <t>Example location</t>
  </si>
  <si>
    <t>Channel N</t>
  </si>
  <si>
    <t>Name Surname</t>
  </si>
  <si>
    <t>Commentary</t>
  </si>
  <si>
    <t>Altura pozo de aquietamiento o referencia linmimétrica</t>
  </si>
  <si>
    <t>No Aplica</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</si>
</sst>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0.00000"/>
    <numFmt numFmtId="165" formatCode="0.0"/>
    <numFmt numFmtId="166" formatCode="0.000"/>
    <numFmt numFmtId="167" formatCode="hh:mm:ss;@"/>
    <numFmt numFmtId="168" formatCode="0.0000"/>
  </numFmts>
  <fonts count="47" x14ac:knownFonts="1">
    <font>
      <sz val="11"/>
      <color theme="1"/>
      <name val="Calibri"/>
      <family val="2"/>
      <scheme val="minor"/>
    </font>
    <font>
      <sz val="11"/>
      <name val="Calibri"/>
      <family val="2"/>
    </font>
    <font>
      <b/>
      <sz val="11"/>
      <color theme="1"/>
      <name val="Calibri"/>
      <family val="2"/>
      <scheme val="minor"/>
    </font>
    <font>
      <sz val="10"/>
      <color theme="1"/>
      <name val="Calibri"/>
      <family val="2"/>
      <scheme val="minor"/>
    </font>
    <font>
      <sz val="20"/>
      <color theme="1"/>
      <name val="Calibri"/>
      <family val="2"/>
      <scheme val="minor"/>
    </font>
    <font>
      <sz val="11"/>
      <color theme="0"/>
      <name val="Calibri"/>
      <family val="2"/>
      <scheme val="minor"/>
    </font>
    <font>
      <b/>
      <sz val="14"/>
      <color theme="1"/>
      <name val="Calibri"/>
      <family val="2"/>
      <scheme val="minor"/>
    </font>
    <font>
      <sz val="20"/>
      <color theme="6" tint="-0.499984740745262"/>
      <name val="Calibri"/>
      <family val="2"/>
      <scheme val="minor"/>
    </font>
    <font>
      <b/>
      <sz val="11"/>
      <color theme="0"/>
      <name val="Calibri"/>
      <family val="2"/>
      <scheme val="minor"/>
    </font>
    <font>
      <sz val="20"/>
      <color theme="0"/>
      <name val="Calibri"/>
      <family val="2"/>
      <scheme val="minor"/>
    </font>
    <font>
      <b/>
      <sz val="14"/>
      <color theme="6" tint="-0.499984740745262"/>
      <name val="Calibri"/>
      <family val="2"/>
      <scheme val="minor"/>
    </font>
    <font>
      <b/>
      <sz val="11"/>
      <color theme="6" tint="-0.499984740745262"/>
      <name val="Calibri"/>
      <family val="2"/>
      <scheme val="minor"/>
    </font>
    <font>
      <sz val="11"/>
      <color rgb="FFFF0000"/>
      <name val="Calibri"/>
      <family val="2"/>
      <scheme val="minor"/>
    </font>
    <font>
      <b/>
      <i/>
      <sz val="12"/>
      <color theme="1"/>
      <name val="Calibri"/>
      <family val="2"/>
      <scheme val="minor"/>
    </font>
    <font>
      <sz val="12"/>
      <color theme="1"/>
      <name val="Calibri"/>
      <family val="2"/>
      <scheme val="minor"/>
    </font>
    <font>
      <sz val="14"/>
      <color theme="1"/>
      <name val="Calibri"/>
      <family val="2"/>
      <scheme val="minor"/>
    </font>
    <font>
      <sz val="16"/>
      <color theme="1"/>
      <name val="Calibri"/>
      <family val="2"/>
      <scheme val="minor"/>
    </font>
    <font>
      <b/>
      <sz val="18"/>
      <color rgb="FFC00000"/>
      <name val="Calibri"/>
      <family val="2"/>
      <scheme val="minor"/>
    </font>
    <font>
      <sz val="11"/>
      <color indexed="81"/>
      <name val="Calibri"/>
      <family val="2"/>
      <scheme val="minor"/>
    </font>
    <font>
      <b/>
      <sz val="11"/>
      <color indexed="81"/>
      <name val="Calibri"/>
      <family val="2"/>
      <scheme val="minor"/>
    </font>
    <font>
      <sz val="16"/>
      <name val="Calibri"/>
      <family val="2"/>
      <scheme val="minor"/>
    </font>
    <font>
      <b/>
      <sz val="16"/>
      <name val="Calibri"/>
      <family val="2"/>
      <scheme val="minor"/>
    </font>
    <font>
      <vertAlign val="superscript"/>
      <sz val="20"/>
      <color theme="1"/>
      <name val="Calibri"/>
      <family val="2"/>
      <scheme val="minor"/>
    </font>
    <font>
      <b/>
      <sz val="12"/>
      <color theme="1"/>
      <name val="Calibri"/>
      <family val="2"/>
      <scheme val="minor"/>
    </font>
    <font>
      <vertAlign val="superscript"/>
      <sz val="16"/>
      <name val="Calibri"/>
      <family val="2"/>
      <scheme val="minor"/>
    </font>
    <font>
      <b/>
      <vertAlign val="superscript"/>
      <sz val="11"/>
      <color theme="1"/>
      <name val="Calibri"/>
      <family val="2"/>
      <scheme val="minor"/>
    </font>
    <font>
      <b/>
      <sz val="16"/>
      <color theme="1"/>
      <name val="Calibri"/>
      <family val="2"/>
      <scheme val="minor"/>
    </font>
    <font>
      <b/>
      <sz val="16"/>
      <color theme="6" tint="-0.499984740745262"/>
      <name val="Calibri"/>
      <family val="2"/>
      <scheme val="minor"/>
    </font>
    <font>
      <sz val="28"/>
      <color theme="6" tint="-0.499984740745262"/>
      <name val="Calibri"/>
      <family val="2"/>
      <scheme val="minor"/>
    </font>
    <font>
      <b/>
      <sz val="10"/>
      <color theme="1"/>
      <name val="Calibri"/>
      <family val="2"/>
      <scheme val="minor"/>
    </font>
    <font>
      <sz val="12"/>
      <color theme="3" tint="0.39997558519241921"/>
      <name val="Calibri"/>
      <family val="2"/>
      <scheme val="minor"/>
    </font>
    <font>
      <sz val="10"/>
      <name val="Calibri"/>
      <family val="2"/>
    </font>
    <font>
      <sz val="10"/>
      <name val="Arial"/>
      <family val="2"/>
    </font>
    <font>
      <b/>
      <sz val="11"/>
      <name val="Calibri"/>
      <family val="2"/>
    </font>
    <font>
      <sz val="8"/>
      <name val="Calibri"/>
      <family val="2"/>
    </font>
    <font>
      <vertAlign val="subscript"/>
      <sz val="11"/>
      <name val="Calibri"/>
      <family val="2"/>
    </font>
    <font>
      <sz val="11"/>
      <color theme="0"/>
      <name val="Calibri"/>
      <family val="2"/>
    </font>
    <font>
      <i/>
      <sz val="11"/>
      <name val="Calibri"/>
      <family val="2"/>
    </font>
    <font>
      <b/>
      <vertAlign val="superscript"/>
      <sz val="10"/>
      <color theme="1"/>
      <name val="Calibri"/>
      <family val="2"/>
      <scheme val="minor"/>
    </font>
    <font>
      <sz val="9"/>
      <name val="Calibri"/>
      <family val="2"/>
    </font>
    <font>
      <sz val="11"/>
      <color theme="1"/>
      <name val="Cambria"/>
      <family val="1"/>
    </font>
    <font>
      <b/>
      <sz val="12"/>
      <color theme="0"/>
      <name val="Calibri"/>
      <family val="2"/>
      <scheme val="minor"/>
    </font>
    <font>
      <sz val="11"/>
      <color theme="8" tint="-0.499984740745262"/>
      <name val="Calibri"/>
      <family val="2"/>
      <scheme val="minor"/>
    </font>
    <font>
      <sz val="11"/>
      <color theme="6" tint="-0.499984740745262"/>
      <name val="Calibri"/>
      <family val="2"/>
      <scheme val="minor"/>
    </font>
    <font>
      <b/>
      <vertAlign val="superscript"/>
      <sz val="11"/>
      <color theme="6" tint="-0.499984740745262"/>
      <name val="Calibri"/>
      <family val="2"/>
      <scheme val="minor"/>
    </font>
    <font>
      <u/>
      <sz val="11"/>
      <color theme="10"/>
      <name val="Calibri"/>
      <family val="2"/>
      <scheme val="minor"/>
    </font>
    <font>
      <u/>
      <sz val="11"/>
      <color theme="11"/>
      <name val="Calibri"/>
      <family val="2"/>
      <scheme val="minor"/>
    </font>
  </fonts>
  <fills count="13">
    <fill>
      <patternFill patternType="none"/>
    </fill>
    <fill>
      <patternFill patternType="gray125"/>
    </fill>
    <fill>
      <patternFill patternType="solid">
        <fgColor rgb="FFFFFF00"/>
        <bgColor indexed="64"/>
      </patternFill>
    </fill>
    <fill>
      <patternFill patternType="solid">
        <fgColor theme="6" tint="0.39997558519241921"/>
        <bgColor indexed="64"/>
      </patternFill>
    </fill>
    <fill>
      <patternFill patternType="solid">
        <fgColor theme="5" tint="0.79998168889431442"/>
        <bgColor indexed="64"/>
      </patternFill>
    </fill>
    <fill>
      <patternFill patternType="solid">
        <fgColor theme="8" tint="0.59999389629810485"/>
        <bgColor indexed="64"/>
      </patternFill>
    </fill>
    <fill>
      <patternFill patternType="solid">
        <fgColor theme="8" tint="0.39997558519241921"/>
        <bgColor indexed="64"/>
      </patternFill>
    </fill>
    <fill>
      <patternFill patternType="solid">
        <fgColor theme="7" tint="0.39997558519241921"/>
        <bgColor indexed="64"/>
      </patternFill>
    </fill>
    <fill>
      <patternFill patternType="solid">
        <fgColor theme="6" tint="0.59999389629810485"/>
        <bgColor indexed="64"/>
      </patternFill>
    </fill>
    <fill>
      <patternFill patternType="solid">
        <fgColor theme="0"/>
        <bgColor indexed="64"/>
      </patternFill>
    </fill>
    <fill>
      <patternFill patternType="solid">
        <fgColor rgb="FF92D050"/>
        <bgColor indexed="64"/>
      </patternFill>
    </fill>
    <fill>
      <patternFill patternType="solid">
        <fgColor theme="8" tint="0.79998168889431442"/>
        <bgColor indexed="64"/>
      </patternFill>
    </fill>
    <fill>
      <patternFill patternType="solid">
        <fgColor rgb="FF0070C0"/>
        <bgColor indexed="64"/>
      </patternFill>
    </fill>
  </fills>
  <borders count="61">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double">
        <color auto="1"/>
      </left>
      <right/>
      <top style="double">
        <color auto="1"/>
      </top>
      <bottom/>
      <diagonal/>
    </border>
    <border>
      <left/>
      <right style="double">
        <color auto="1"/>
      </right>
      <top style="double">
        <color auto="1"/>
      </top>
      <bottom/>
      <diagonal/>
    </border>
    <border>
      <left style="double">
        <color auto="1"/>
      </left>
      <right/>
      <top/>
      <bottom/>
      <diagonal/>
    </border>
    <border>
      <left/>
      <right style="double">
        <color auto="1"/>
      </right>
      <top/>
      <bottom/>
      <diagonal/>
    </border>
    <border>
      <left style="double">
        <color auto="1"/>
      </left>
      <right/>
      <top/>
      <bottom style="double">
        <color auto="1"/>
      </bottom>
      <diagonal/>
    </border>
    <border>
      <left/>
      <right style="double">
        <color auto="1"/>
      </right>
      <top/>
      <bottom style="double">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medium">
        <color auto="1"/>
      </left>
      <right style="thin">
        <color auto="1"/>
      </right>
      <top/>
      <bottom style="thin">
        <color auto="1"/>
      </bottom>
      <diagonal/>
    </border>
    <border>
      <left style="thin">
        <color auto="1"/>
      </left>
      <right style="medium">
        <color auto="1"/>
      </right>
      <top/>
      <bottom style="thin">
        <color auto="1"/>
      </bottom>
      <diagonal/>
    </border>
    <border>
      <left style="thin">
        <color auto="1"/>
      </left>
      <right style="medium">
        <color auto="1"/>
      </right>
      <top style="thin">
        <color auto="1"/>
      </top>
      <bottom/>
      <diagonal/>
    </border>
    <border>
      <left style="thin">
        <color auto="1"/>
      </left>
      <right style="medium">
        <color auto="1"/>
      </right>
      <top style="medium">
        <color auto="1"/>
      </top>
      <bottom/>
      <diagonal/>
    </border>
    <border>
      <left style="medium">
        <color auto="1"/>
      </left>
      <right style="thin">
        <color auto="1"/>
      </right>
      <top style="thin">
        <color auto="1"/>
      </top>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medium">
        <color auto="1"/>
      </left>
      <right style="thin">
        <color auto="1"/>
      </right>
      <top/>
      <bottom style="medium">
        <color auto="1"/>
      </bottom>
      <diagonal/>
    </border>
    <border>
      <left style="thin">
        <color auto="1"/>
      </left>
      <right style="thin">
        <color auto="1"/>
      </right>
      <top/>
      <bottom style="medium">
        <color auto="1"/>
      </bottom>
      <diagonal/>
    </border>
    <border>
      <left style="thin">
        <color auto="1"/>
      </left>
      <right style="medium">
        <color auto="1"/>
      </right>
      <top/>
      <bottom style="medium">
        <color auto="1"/>
      </bottom>
      <diagonal/>
    </border>
    <border>
      <left style="thin">
        <color auto="1"/>
      </left>
      <right/>
      <top/>
      <bottom style="thin">
        <color auto="1"/>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right/>
      <top/>
      <bottom style="thin">
        <color auto="1"/>
      </bottom>
      <diagonal/>
    </border>
    <border>
      <left/>
      <right style="thin">
        <color auto="1"/>
      </right>
      <top/>
      <bottom style="thin">
        <color auto="1"/>
      </bottom>
      <diagonal/>
    </border>
    <border>
      <left style="thin">
        <color auto="1"/>
      </left>
      <right style="thin">
        <color auto="1"/>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style="thin">
        <color auto="1"/>
      </left>
      <right style="thin">
        <color auto="1"/>
      </right>
      <top style="hair">
        <color auto="1"/>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style="hair">
        <color auto="1"/>
      </bottom>
      <diagonal/>
    </border>
    <border>
      <left style="thin">
        <color auto="1"/>
      </left>
      <right/>
      <top style="hair">
        <color auto="1"/>
      </top>
      <bottom style="hair">
        <color auto="1"/>
      </bottom>
      <diagonal/>
    </border>
    <border>
      <left style="thin">
        <color auto="1"/>
      </left>
      <right/>
      <top style="hair">
        <color auto="1"/>
      </top>
      <bottom style="thin">
        <color auto="1"/>
      </bottom>
      <diagonal/>
    </border>
    <border>
      <left/>
      <right style="thin">
        <color auto="1"/>
      </right>
      <top style="thin">
        <color auto="1"/>
      </top>
      <bottom style="hair">
        <color auto="1"/>
      </bottom>
      <diagonal/>
    </border>
    <border>
      <left/>
      <right style="thin">
        <color auto="1"/>
      </right>
      <top style="hair">
        <color auto="1"/>
      </top>
      <bottom style="hair">
        <color auto="1"/>
      </bottom>
      <diagonal/>
    </border>
    <border>
      <left/>
      <right style="thin">
        <color auto="1"/>
      </right>
      <top style="hair">
        <color auto="1"/>
      </top>
      <bottom style="thin">
        <color auto="1"/>
      </bottom>
      <diagonal/>
    </border>
    <border>
      <left/>
      <right/>
      <top style="double">
        <color auto="1"/>
      </top>
      <bottom/>
      <diagonal/>
    </border>
    <border>
      <left/>
      <right/>
      <top/>
      <bottom style="double">
        <color auto="1"/>
      </bottom>
      <diagonal/>
    </border>
    <border>
      <left style="thick">
        <color theme="3" tint="0.39994506668294322"/>
      </left>
      <right/>
      <top style="medium">
        <color auto="1"/>
      </top>
      <bottom/>
      <diagonal/>
    </border>
    <border>
      <left/>
      <right style="thick">
        <color theme="3" tint="0.39994506668294322"/>
      </right>
      <top style="medium">
        <color auto="1"/>
      </top>
      <bottom/>
      <diagonal/>
    </border>
    <border>
      <left style="thick">
        <color theme="3" tint="0.39994506668294322"/>
      </left>
      <right/>
      <top/>
      <bottom style="thick">
        <color theme="3" tint="0.39994506668294322"/>
      </bottom>
      <diagonal/>
    </border>
    <border>
      <left/>
      <right/>
      <top/>
      <bottom style="thick">
        <color theme="3" tint="0.39994506668294322"/>
      </bottom>
      <diagonal/>
    </border>
    <border>
      <left/>
      <right style="thick">
        <color theme="3" tint="0.39994506668294322"/>
      </right>
      <top/>
      <bottom style="thick">
        <color theme="3" tint="0.39994506668294322"/>
      </bottom>
      <diagonal/>
    </border>
  </borders>
  <cellStyleXfs count="7">
    <xf numFmtId="0" fontId="0" fillId="0" borderId="0"/>
    <xf numFmtId="0" fontId="45"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5" fillId="0" borderId="0" applyNumberFormat="0" applyFill="0" applyBorder="0" applyAlignment="0" applyProtection="0"/>
  </cellStyleXfs>
  <cellXfs count="439">
    <xf numFmtId="0" fontId="0" fillId="0" borderId="0" xfId="0"/>
    <xf numFmtId="0" fontId="0" fillId="0" borderId="0" xfId="0" applyAlignment="1" applyProtection="1">
      <alignment horizontal="center" vertical="center"/>
    </xf>
    <xf numFmtId="0" fontId="3" fillId="7" borderId="1" xfId="0" applyFont="1" applyFill="1" applyBorder="1" applyAlignment="1" applyProtection="1">
      <alignment horizontal="center" vertical="center" wrapText="1"/>
    </xf>
    <xf numFmtId="0" fontId="10" fillId="8" borderId="1" xfId="0" applyFont="1" applyFill="1" applyBorder="1" applyAlignment="1" applyProtection="1">
      <alignment horizontal="center" vertical="center"/>
    </xf>
    <xf numFmtId="0" fontId="0" fillId="0" borderId="0" xfId="0" applyAlignment="1" applyProtection="1">
      <alignment horizontal="center" vertical="center" wrapText="1"/>
    </xf>
    <xf numFmtId="0" fontId="11" fillId="8" borderId="1" xfId="0" applyFont="1" applyFill="1" applyBorder="1" applyAlignment="1" applyProtection="1">
      <alignment horizontal="center" vertical="center"/>
    </xf>
    <xf numFmtId="0" fontId="0" fillId="0" borderId="0" xfId="0" applyBorder="1" applyAlignment="1" applyProtection="1">
      <alignment horizontal="center" vertical="center"/>
    </xf>
    <xf numFmtId="0" fontId="0" fillId="0" borderId="0" xfId="0" applyFill="1" applyBorder="1" applyAlignment="1" applyProtection="1">
      <alignment horizontal="center" vertical="center"/>
    </xf>
    <xf numFmtId="0" fontId="5" fillId="0" borderId="0" xfId="0" applyFont="1" applyFill="1" applyBorder="1" applyAlignment="1" applyProtection="1">
      <alignment horizontal="center" vertical="center"/>
    </xf>
    <xf numFmtId="0" fontId="0" fillId="9" borderId="0" xfId="0" applyFill="1" applyAlignment="1" applyProtection="1">
      <alignment horizontal="center" vertical="center"/>
    </xf>
    <xf numFmtId="0" fontId="2" fillId="9" borderId="0" xfId="0" applyFont="1" applyFill="1" applyAlignment="1" applyProtection="1">
      <alignment horizontal="center" vertical="center"/>
    </xf>
    <xf numFmtId="0" fontId="0" fillId="9" borderId="0" xfId="0" applyFill="1" applyAlignment="1" applyProtection="1">
      <alignment horizontal="center" vertical="center" wrapText="1"/>
    </xf>
    <xf numFmtId="0" fontId="11" fillId="9" borderId="0" xfId="0" applyFont="1" applyFill="1" applyBorder="1" applyAlignment="1" applyProtection="1">
      <alignment horizontal="center" vertical="center"/>
    </xf>
    <xf numFmtId="0" fontId="9" fillId="9" borderId="0" xfId="0" applyFont="1" applyFill="1" applyBorder="1" applyAlignment="1" applyProtection="1">
      <alignment horizontal="center" vertical="center"/>
    </xf>
    <xf numFmtId="0" fontId="4" fillId="9" borderId="0" xfId="0" applyFont="1" applyFill="1" applyBorder="1" applyAlignment="1" applyProtection="1">
      <alignment horizontal="center" vertical="center"/>
    </xf>
    <xf numFmtId="0" fontId="8" fillId="9" borderId="0" xfId="0" applyFont="1" applyFill="1" applyBorder="1" applyAlignment="1" applyProtection="1">
      <alignment horizontal="center" vertical="center" wrapText="1"/>
    </xf>
    <xf numFmtId="0" fontId="2" fillId="9" borderId="0" xfId="0" applyFont="1" applyFill="1" applyBorder="1" applyAlignment="1" applyProtection="1">
      <alignment horizontal="center" vertical="center" wrapText="1"/>
    </xf>
    <xf numFmtId="2" fontId="8" fillId="9" borderId="0" xfId="0" applyNumberFormat="1" applyFont="1" applyFill="1" applyBorder="1" applyAlignment="1" applyProtection="1">
      <alignment horizontal="center" vertical="center"/>
    </xf>
    <xf numFmtId="0" fontId="4" fillId="9" borderId="0" xfId="0" applyFont="1" applyFill="1" applyAlignment="1" applyProtection="1">
      <alignment horizontal="center" vertical="center"/>
    </xf>
    <xf numFmtId="165" fontId="7" fillId="9" borderId="0" xfId="0" applyNumberFormat="1" applyFont="1" applyFill="1" applyBorder="1" applyAlignment="1" applyProtection="1">
      <alignment vertical="center"/>
    </xf>
    <xf numFmtId="165" fontId="7" fillId="9" borderId="0" xfId="0" applyNumberFormat="1" applyFont="1" applyFill="1" applyBorder="1" applyAlignment="1" applyProtection="1">
      <alignment horizontal="center" vertical="center"/>
    </xf>
    <xf numFmtId="0" fontId="16" fillId="9" borderId="0" xfId="0" applyFont="1" applyFill="1" applyBorder="1" applyAlignment="1" applyProtection="1">
      <alignment vertical="center" wrapText="1"/>
    </xf>
    <xf numFmtId="0" fontId="12" fillId="9" borderId="0" xfId="0" applyFont="1" applyFill="1" applyBorder="1" applyAlignment="1" applyProtection="1">
      <alignment horizontal="center" vertical="center"/>
    </xf>
    <xf numFmtId="2" fontId="5" fillId="9" borderId="0" xfId="0" applyNumberFormat="1" applyFont="1" applyFill="1" applyBorder="1" applyAlignment="1" applyProtection="1">
      <alignment horizontal="center" vertical="center"/>
    </xf>
    <xf numFmtId="0" fontId="15" fillId="9" borderId="0" xfId="0" applyFont="1" applyFill="1" applyBorder="1" applyAlignment="1" applyProtection="1">
      <alignment vertical="center" wrapText="1"/>
    </xf>
    <xf numFmtId="0" fontId="0" fillId="9" borderId="0" xfId="0" applyFill="1" applyAlignment="1" applyProtection="1">
      <alignment vertical="center"/>
    </xf>
    <xf numFmtId="2" fontId="2" fillId="9" borderId="0" xfId="0" applyNumberFormat="1" applyFont="1" applyFill="1" applyBorder="1" applyAlignment="1" applyProtection="1">
      <alignment horizontal="center" vertical="center"/>
    </xf>
    <xf numFmtId="0" fontId="0" fillId="9" borderId="0" xfId="0" applyFill="1" applyBorder="1" applyAlignment="1" applyProtection="1">
      <alignment horizontal="center" vertical="center"/>
    </xf>
    <xf numFmtId="0" fontId="2" fillId="7" borderId="1" xfId="0" applyFont="1" applyFill="1" applyBorder="1" applyAlignment="1" applyProtection="1">
      <alignment horizontal="center" vertical="center" wrapText="1"/>
    </xf>
    <xf numFmtId="0" fontId="2" fillId="7" borderId="2" xfId="0" applyFont="1" applyFill="1" applyBorder="1" applyAlignment="1" applyProtection="1">
      <alignment horizontal="center" vertical="center" wrapText="1"/>
    </xf>
    <xf numFmtId="0" fontId="2" fillId="9" borderId="0" xfId="0" applyFont="1" applyFill="1" applyBorder="1" applyAlignment="1" applyProtection="1">
      <alignment horizontal="center" vertical="center"/>
    </xf>
    <xf numFmtId="0" fontId="0" fillId="9" borderId="0" xfId="0" applyFill="1" applyBorder="1" applyAlignment="1" applyProtection="1">
      <alignment horizontal="center" vertical="center"/>
    </xf>
    <xf numFmtId="0" fontId="26" fillId="2" borderId="1" xfId="0" applyFont="1" applyFill="1" applyBorder="1" applyAlignment="1" applyProtection="1">
      <alignment horizontal="center" vertical="center"/>
      <protection locked="0"/>
    </xf>
    <xf numFmtId="0" fontId="0" fillId="0" borderId="0" xfId="0" applyFill="1" applyAlignment="1" applyProtection="1">
      <alignment horizontal="center" vertical="center"/>
    </xf>
    <xf numFmtId="2" fontId="0" fillId="0" borderId="0" xfId="0" applyNumberFormat="1" applyFill="1" applyBorder="1" applyAlignment="1" applyProtection="1">
      <alignment horizontal="center" vertical="center"/>
    </xf>
    <xf numFmtId="2" fontId="0" fillId="0" borderId="0" xfId="0" applyNumberFormat="1" applyBorder="1" applyAlignment="1" applyProtection="1">
      <alignment horizontal="center" vertical="center"/>
    </xf>
    <xf numFmtId="1" fontId="0" fillId="0" borderId="0" xfId="0" applyNumberFormat="1" applyAlignment="1" applyProtection="1">
      <alignment horizontal="center" vertical="center"/>
    </xf>
    <xf numFmtId="1" fontId="0" fillId="0" borderId="0" xfId="0" applyNumberFormat="1" applyBorder="1" applyAlignment="1" applyProtection="1">
      <alignment horizontal="center" vertical="center"/>
    </xf>
    <xf numFmtId="2" fontId="0" fillId="0" borderId="0" xfId="0" applyNumberFormat="1" applyFill="1" applyBorder="1" applyAlignment="1" applyProtection="1">
      <alignment horizontal="center" vertical="center" wrapText="1"/>
    </xf>
    <xf numFmtId="2" fontId="0" fillId="0" borderId="0" xfId="0" applyNumberFormat="1" applyBorder="1" applyAlignment="1" applyProtection="1">
      <alignment horizontal="center" vertical="center" wrapText="1"/>
    </xf>
    <xf numFmtId="0" fontId="0" fillId="7" borderId="1" xfId="0" applyFill="1" applyBorder="1" applyAlignment="1" applyProtection="1">
      <alignment horizontal="center" vertical="center" wrapText="1"/>
    </xf>
    <xf numFmtId="0" fontId="0" fillId="7" borderId="18" xfId="0" applyFill="1" applyBorder="1" applyAlignment="1" applyProtection="1">
      <alignment horizontal="center" vertical="center" wrapText="1"/>
    </xf>
    <xf numFmtId="0" fontId="0" fillId="7" borderId="19" xfId="0" applyFill="1" applyBorder="1" applyAlignment="1" applyProtection="1">
      <alignment horizontal="center" vertical="center" wrapText="1"/>
    </xf>
    <xf numFmtId="0" fontId="0" fillId="7" borderId="12" xfId="0" applyFill="1" applyBorder="1" applyAlignment="1" applyProtection="1">
      <alignment horizontal="center" vertical="center" wrapText="1"/>
    </xf>
    <xf numFmtId="1" fontId="0" fillId="9" borderId="0" xfId="0" applyNumberFormat="1" applyFill="1" applyBorder="1" applyAlignment="1" applyProtection="1">
      <alignment horizontal="center" vertical="center"/>
    </xf>
    <xf numFmtId="1" fontId="0" fillId="9" borderId="0" xfId="0" applyNumberFormat="1" applyFill="1" applyAlignment="1" applyProtection="1">
      <alignment horizontal="center" vertical="center"/>
    </xf>
    <xf numFmtId="0" fontId="0" fillId="9" borderId="33" xfId="0" applyFill="1" applyBorder="1" applyAlignment="1" applyProtection="1">
      <alignment horizontal="center" vertical="center" wrapText="1"/>
    </xf>
    <xf numFmtId="1" fontId="0" fillId="9" borderId="33" xfId="0" applyNumberFormat="1" applyFill="1" applyBorder="1" applyAlignment="1" applyProtection="1">
      <alignment horizontal="center" vertical="center"/>
    </xf>
    <xf numFmtId="0" fontId="0" fillId="9" borderId="33" xfId="0" applyFill="1" applyBorder="1" applyAlignment="1" applyProtection="1">
      <alignment horizontal="center" vertical="center"/>
    </xf>
    <xf numFmtId="166" fontId="2" fillId="9" borderId="36" xfId="0" applyNumberFormat="1" applyFont="1" applyFill="1" applyBorder="1" applyAlignment="1" applyProtection="1">
      <alignment horizontal="center" vertical="center" wrapText="1"/>
    </xf>
    <xf numFmtId="0" fontId="13" fillId="9" borderId="0" xfId="0" applyFont="1" applyFill="1" applyBorder="1" applyAlignment="1" applyProtection="1">
      <alignment horizontal="center" vertical="center" wrapText="1"/>
    </xf>
    <xf numFmtId="0" fontId="2" fillId="9" borderId="32" xfId="0" applyFont="1" applyFill="1" applyBorder="1" applyAlignment="1" applyProtection="1">
      <alignment horizontal="center" vertical="center" wrapText="1"/>
    </xf>
    <xf numFmtId="0" fontId="2" fillId="9" borderId="36" xfId="0" applyFont="1" applyFill="1" applyBorder="1" applyAlignment="1" applyProtection="1">
      <alignment horizontal="center" vertical="center" wrapText="1"/>
    </xf>
    <xf numFmtId="0" fontId="0" fillId="5" borderId="18" xfId="0" applyFill="1" applyBorder="1" applyAlignment="1" applyProtection="1">
      <alignment horizontal="center" vertical="center" wrapText="1"/>
    </xf>
    <xf numFmtId="0" fontId="0" fillId="5" borderId="2" xfId="0" applyFill="1" applyBorder="1" applyAlignment="1" applyProtection="1">
      <alignment horizontal="center" vertical="center" wrapText="1"/>
    </xf>
    <xf numFmtId="0" fontId="0" fillId="5" borderId="36" xfId="0" applyFill="1" applyBorder="1" applyAlignment="1" applyProtection="1">
      <alignment horizontal="center" vertical="center"/>
    </xf>
    <xf numFmtId="0" fontId="0" fillId="5" borderId="3" xfId="0" applyFill="1" applyBorder="1" applyAlignment="1" applyProtection="1">
      <alignment horizontal="center" vertical="center"/>
    </xf>
    <xf numFmtId="0" fontId="0" fillId="5" borderId="18" xfId="0" applyFill="1" applyBorder="1" applyAlignment="1" applyProtection="1">
      <alignment horizontal="center" vertical="center"/>
    </xf>
    <xf numFmtId="0" fontId="0" fillId="11" borderId="1" xfId="0" applyFill="1" applyBorder="1" applyAlignment="1" applyProtection="1">
      <alignment horizontal="center" vertical="center" wrapText="1"/>
    </xf>
    <xf numFmtId="2" fontId="0" fillId="11" borderId="18" xfId="0" applyNumberFormat="1" applyFill="1" applyBorder="1" applyAlignment="1" applyProtection="1">
      <alignment horizontal="center" vertical="center" wrapText="1"/>
    </xf>
    <xf numFmtId="2" fontId="0" fillId="11" borderId="19" xfId="0" applyNumberFormat="1" applyFill="1" applyBorder="1" applyAlignment="1" applyProtection="1">
      <alignment horizontal="center" vertical="center" wrapText="1"/>
    </xf>
    <xf numFmtId="2" fontId="0" fillId="11" borderId="10" xfId="0" applyNumberFormat="1" applyFill="1" applyBorder="1" applyAlignment="1" applyProtection="1">
      <alignment horizontal="center" vertical="center" wrapText="1"/>
    </xf>
    <xf numFmtId="2" fontId="0" fillId="11" borderId="11" xfId="0" applyNumberFormat="1" applyFill="1" applyBorder="1" applyAlignment="1" applyProtection="1">
      <alignment horizontal="center" vertical="center" wrapText="1"/>
    </xf>
    <xf numFmtId="1" fontId="0" fillId="11" borderId="2" xfId="0" applyNumberFormat="1" applyFill="1" applyBorder="1" applyAlignment="1" applyProtection="1">
      <alignment horizontal="center" vertical="center"/>
    </xf>
    <xf numFmtId="0" fontId="0" fillId="11" borderId="36" xfId="0" applyFill="1" applyBorder="1" applyAlignment="1" applyProtection="1">
      <alignment horizontal="center" vertical="center"/>
    </xf>
    <xf numFmtId="2" fontId="0" fillId="11" borderId="32" xfId="0" applyNumberFormat="1" applyFill="1" applyBorder="1" applyAlignment="1" applyProtection="1">
      <alignment horizontal="center" vertical="center"/>
    </xf>
    <xf numFmtId="2" fontId="0" fillId="11" borderId="0" xfId="0" applyNumberFormat="1" applyFill="1" applyBorder="1" applyAlignment="1" applyProtection="1">
      <alignment horizontal="center" vertical="center"/>
    </xf>
    <xf numFmtId="1" fontId="0" fillId="11" borderId="36" xfId="0" applyNumberFormat="1" applyFill="1" applyBorder="1" applyAlignment="1" applyProtection="1">
      <alignment horizontal="center" vertical="center"/>
    </xf>
    <xf numFmtId="2" fontId="0" fillId="11" borderId="0" xfId="0" applyNumberFormat="1" applyFill="1" applyBorder="1" applyAlignment="1" applyProtection="1">
      <alignment horizontal="center" vertical="center" wrapText="1"/>
    </xf>
    <xf numFmtId="2" fontId="0" fillId="11" borderId="30" xfId="0" applyNumberFormat="1" applyFill="1" applyBorder="1" applyAlignment="1" applyProtection="1">
      <alignment horizontal="center" vertical="center"/>
    </xf>
    <xf numFmtId="2" fontId="0" fillId="11" borderId="34" xfId="0" applyNumberFormat="1" applyFill="1" applyBorder="1" applyAlignment="1" applyProtection="1">
      <alignment horizontal="center" vertical="center"/>
    </xf>
    <xf numFmtId="1" fontId="0" fillId="11" borderId="3" xfId="0" applyNumberFormat="1" applyFill="1" applyBorder="1" applyAlignment="1" applyProtection="1">
      <alignment horizontal="center" vertical="center"/>
    </xf>
    <xf numFmtId="2" fontId="0" fillId="11" borderId="18" xfId="0" applyNumberFormat="1" applyFill="1" applyBorder="1" applyAlignment="1" applyProtection="1">
      <alignment horizontal="center" vertical="center"/>
    </xf>
    <xf numFmtId="2" fontId="0" fillId="11" borderId="19" xfId="0" applyNumberFormat="1" applyFill="1" applyBorder="1" applyAlignment="1" applyProtection="1">
      <alignment horizontal="center" vertical="center"/>
    </xf>
    <xf numFmtId="1" fontId="0" fillId="11" borderId="1" xfId="0" applyNumberFormat="1" applyFill="1" applyBorder="1" applyAlignment="1" applyProtection="1">
      <alignment horizontal="center" vertical="center"/>
    </xf>
    <xf numFmtId="0" fontId="0" fillId="6" borderId="1" xfId="0" applyFill="1" applyBorder="1" applyAlignment="1" applyProtection="1">
      <alignment horizontal="center" vertical="center" wrapText="1"/>
    </xf>
    <xf numFmtId="0" fontId="0" fillId="9" borderId="0" xfId="0" applyFill="1" applyBorder="1" applyAlignment="1" applyProtection="1">
      <alignment horizontal="center" vertical="center"/>
    </xf>
    <xf numFmtId="0" fontId="13" fillId="9" borderId="0" xfId="0" applyFont="1" applyFill="1" applyAlignment="1" applyProtection="1">
      <alignment horizontal="center" vertical="center" wrapText="1"/>
    </xf>
    <xf numFmtId="0" fontId="15" fillId="9" borderId="0" xfId="0" applyFont="1" applyFill="1" applyBorder="1" applyAlignment="1" applyProtection="1">
      <alignment horizontal="justify" vertical="center" wrapText="1"/>
    </xf>
    <xf numFmtId="0" fontId="13" fillId="9" borderId="0" xfId="0" applyFont="1" applyFill="1" applyAlignment="1" applyProtection="1">
      <alignment horizontal="center" vertical="center" wrapText="1"/>
    </xf>
    <xf numFmtId="0" fontId="2" fillId="7" borderId="1" xfId="0" applyFont="1" applyFill="1" applyBorder="1" applyAlignment="1" applyProtection="1">
      <alignment horizontal="center" vertical="center" wrapText="1"/>
    </xf>
    <xf numFmtId="0" fontId="2" fillId="7" borderId="2" xfId="0" applyFont="1" applyFill="1" applyBorder="1" applyAlignment="1" applyProtection="1">
      <alignment horizontal="center" vertical="center" wrapText="1"/>
    </xf>
    <xf numFmtId="0" fontId="8" fillId="9" borderId="0" xfId="0" applyFont="1" applyFill="1" applyBorder="1" applyAlignment="1" applyProtection="1">
      <alignment horizontal="center" vertical="center"/>
    </xf>
    <xf numFmtId="0" fontId="0" fillId="9" borderId="0" xfId="0" applyFill="1" applyBorder="1" applyAlignment="1" applyProtection="1">
      <alignment horizontal="center" vertical="center"/>
    </xf>
    <xf numFmtId="0" fontId="2" fillId="9" borderId="0" xfId="0" applyFont="1" applyFill="1" applyBorder="1" applyAlignment="1" applyProtection="1">
      <alignment horizontal="center" vertical="center"/>
    </xf>
    <xf numFmtId="0" fontId="5" fillId="9" borderId="0" xfId="0" applyFont="1" applyFill="1" applyBorder="1" applyAlignment="1" applyProtection="1">
      <alignment horizontal="center" vertical="center"/>
    </xf>
    <xf numFmtId="0" fontId="13" fillId="9" borderId="0" xfId="0" applyFont="1" applyFill="1" applyAlignment="1" applyProtection="1">
      <alignment vertical="center" wrapText="1"/>
    </xf>
    <xf numFmtId="0" fontId="29" fillId="7" borderId="1" xfId="0" applyFont="1" applyFill="1" applyBorder="1" applyAlignment="1" applyProtection="1">
      <alignment horizontal="center" vertical="center" wrapText="1"/>
    </xf>
    <xf numFmtId="0" fontId="23" fillId="9" borderId="0" xfId="0" applyFont="1" applyFill="1" applyAlignment="1" applyProtection="1">
      <alignment vertical="center"/>
    </xf>
    <xf numFmtId="0" fontId="0" fillId="9" borderId="0" xfId="0" applyFill="1" applyAlignment="1" applyProtection="1">
      <alignment vertical="center" wrapText="1"/>
    </xf>
    <xf numFmtId="0" fontId="0" fillId="9" borderId="0" xfId="0" applyFill="1" applyBorder="1" applyAlignment="1" applyProtection="1">
      <alignment horizontal="center" vertical="center"/>
    </xf>
    <xf numFmtId="0" fontId="5" fillId="9" borderId="0" xfId="0" applyFont="1" applyFill="1" applyAlignment="1" applyProtection="1">
      <alignment horizontal="center" vertical="center"/>
    </xf>
    <xf numFmtId="0" fontId="2" fillId="7" borderId="1" xfId="0" applyFont="1" applyFill="1" applyBorder="1" applyAlignment="1" applyProtection="1">
      <alignment horizontal="center" vertical="center" wrapText="1"/>
    </xf>
    <xf numFmtId="0" fontId="0" fillId="9" borderId="0" xfId="0" applyFill="1" applyBorder="1" applyAlignment="1" applyProtection="1">
      <alignment horizontal="center" vertical="center"/>
    </xf>
    <xf numFmtId="0" fontId="1" fillId="9" borderId="37" xfId="0" applyFont="1" applyFill="1" applyBorder="1"/>
    <xf numFmtId="0" fontId="1" fillId="9" borderId="39" xfId="0" applyFont="1" applyFill="1" applyBorder="1"/>
    <xf numFmtId="0" fontId="1" fillId="9" borderId="40" xfId="0" applyFont="1" applyFill="1" applyBorder="1"/>
    <xf numFmtId="0" fontId="1" fillId="9" borderId="41" xfId="0" applyFont="1" applyFill="1" applyBorder="1"/>
    <xf numFmtId="0" fontId="1" fillId="9" borderId="0" xfId="0" applyFont="1" applyFill="1" applyBorder="1" applyAlignment="1"/>
    <xf numFmtId="0" fontId="1" fillId="9" borderId="0" xfId="0" applyFont="1" applyFill="1" applyBorder="1"/>
    <xf numFmtId="0" fontId="1" fillId="9" borderId="34" xfId="0" applyFont="1" applyFill="1" applyBorder="1"/>
    <xf numFmtId="0" fontId="1" fillId="9" borderId="1" xfId="0" applyFont="1" applyFill="1" applyBorder="1" applyAlignment="1">
      <alignment horizontal="center" vertical="center" wrapText="1"/>
    </xf>
    <xf numFmtId="0" fontId="1" fillId="9" borderId="42" xfId="0" applyFont="1" applyFill="1" applyBorder="1" applyAlignment="1">
      <alignment horizontal="center" vertical="center" wrapText="1"/>
    </xf>
    <xf numFmtId="0" fontId="1" fillId="9" borderId="43" xfId="0" applyFont="1" applyFill="1" applyBorder="1" applyAlignment="1">
      <alignment horizontal="center" vertical="center" wrapText="1"/>
    </xf>
    <xf numFmtId="0" fontId="1" fillId="9" borderId="44" xfId="0" applyFont="1" applyFill="1" applyBorder="1" applyAlignment="1">
      <alignment horizontal="center" vertical="center" wrapText="1"/>
    </xf>
    <xf numFmtId="0" fontId="1" fillId="9" borderId="10" xfId="0" applyFont="1" applyFill="1" applyBorder="1" applyAlignment="1">
      <alignment horizontal="center" vertical="center" wrapText="1"/>
    </xf>
    <xf numFmtId="0" fontId="0" fillId="9" borderId="30" xfId="0" applyFill="1" applyBorder="1"/>
    <xf numFmtId="0" fontId="1" fillId="9" borderId="45" xfId="0" applyFont="1" applyFill="1" applyBorder="1"/>
    <xf numFmtId="0" fontId="1" fillId="9" borderId="46" xfId="0" applyFont="1" applyFill="1" applyBorder="1" applyAlignment="1">
      <alignment horizontal="center" vertical="center" wrapText="1"/>
    </xf>
    <xf numFmtId="0" fontId="1" fillId="9" borderId="47" xfId="0" applyFont="1" applyFill="1" applyBorder="1"/>
    <xf numFmtId="0" fontId="1" fillId="9" borderId="0" xfId="0" applyFont="1" applyFill="1" applyBorder="1" applyAlignment="1">
      <alignment horizontal="left"/>
    </xf>
    <xf numFmtId="0" fontId="1" fillId="9" borderId="0" xfId="0" applyFont="1" applyFill="1" applyBorder="1" applyAlignment="1">
      <alignment horizontal="center" vertical="center" wrapText="1"/>
    </xf>
    <xf numFmtId="0" fontId="36" fillId="9" borderId="40" xfId="0" applyFont="1" applyFill="1" applyBorder="1" applyAlignment="1">
      <alignment horizontal="center"/>
    </xf>
    <xf numFmtId="0" fontId="1" fillId="9" borderId="2" xfId="0" applyFont="1" applyFill="1" applyBorder="1" applyAlignment="1">
      <alignment vertical="center" wrapText="1"/>
    </xf>
    <xf numFmtId="0" fontId="1" fillId="9" borderId="36" xfId="0" applyFont="1" applyFill="1" applyBorder="1" applyAlignment="1">
      <alignment vertical="center" wrapText="1"/>
    </xf>
    <xf numFmtId="0" fontId="1" fillId="9" borderId="3" xfId="0" applyFont="1" applyFill="1" applyBorder="1" applyAlignment="1">
      <alignment vertical="center" wrapText="1"/>
    </xf>
    <xf numFmtId="2" fontId="0" fillId="0" borderId="0" xfId="0" applyNumberFormat="1"/>
    <xf numFmtId="2" fontId="0" fillId="0" borderId="10" xfId="0" applyNumberFormat="1" applyBorder="1"/>
    <xf numFmtId="2" fontId="0" fillId="0" borderId="11" xfId="0" applyNumberFormat="1" applyBorder="1"/>
    <xf numFmtId="2" fontId="0" fillId="0" borderId="31" xfId="0" applyNumberFormat="1" applyBorder="1"/>
    <xf numFmtId="2" fontId="0" fillId="0" borderId="32" xfId="0" applyNumberFormat="1" applyBorder="1"/>
    <xf numFmtId="2" fontId="0" fillId="0" borderId="0" xfId="0" applyNumberFormat="1" applyBorder="1"/>
    <xf numFmtId="2" fontId="0" fillId="0" borderId="33" xfId="0" applyNumberFormat="1" applyBorder="1"/>
    <xf numFmtId="2" fontId="0" fillId="0" borderId="30" xfId="0" applyNumberFormat="1" applyBorder="1"/>
    <xf numFmtId="2" fontId="0" fillId="0" borderId="34" xfId="0" applyNumberFormat="1" applyBorder="1"/>
    <xf numFmtId="2" fontId="0" fillId="0" borderId="35" xfId="0" applyNumberFormat="1" applyBorder="1"/>
    <xf numFmtId="2" fontId="1" fillId="9" borderId="42" xfId="0" applyNumberFormat="1" applyFont="1" applyFill="1" applyBorder="1" applyAlignment="1">
      <alignment horizontal="center" vertical="center" wrapText="1"/>
    </xf>
    <xf numFmtId="2" fontId="1" fillId="9" borderId="43" xfId="0" applyNumberFormat="1" applyFont="1" applyFill="1" applyBorder="1" applyAlignment="1">
      <alignment horizontal="center" vertical="center" wrapText="1"/>
    </xf>
    <xf numFmtId="2" fontId="1" fillId="9" borderId="44" xfId="0" applyNumberFormat="1" applyFont="1" applyFill="1" applyBorder="1" applyAlignment="1">
      <alignment horizontal="center" vertical="center" wrapText="1"/>
    </xf>
    <xf numFmtId="0" fontId="1" fillId="9" borderId="0" xfId="0" applyFont="1" applyFill="1" applyBorder="1" applyAlignment="1">
      <alignment horizontal="right"/>
    </xf>
    <xf numFmtId="0" fontId="32" fillId="9" borderId="0" xfId="0" applyFont="1" applyFill="1" applyBorder="1"/>
    <xf numFmtId="2" fontId="1" fillId="9" borderId="0" xfId="0" applyNumberFormat="1" applyFont="1" applyFill="1" applyBorder="1" applyAlignment="1"/>
    <xf numFmtId="2" fontId="37" fillId="9" borderId="0" xfId="0" applyNumberFormat="1" applyFont="1" applyFill="1" applyBorder="1" applyAlignment="1"/>
    <xf numFmtId="0" fontId="0" fillId="9" borderId="48" xfId="0" applyFill="1" applyBorder="1" applyAlignment="1">
      <alignment horizontal="center" vertical="center"/>
    </xf>
    <xf numFmtId="0" fontId="0" fillId="9" borderId="49" xfId="0" applyFill="1" applyBorder="1" applyAlignment="1">
      <alignment horizontal="center" vertical="center"/>
    </xf>
    <xf numFmtId="0" fontId="0" fillId="9" borderId="50" xfId="0" applyFill="1" applyBorder="1" applyAlignment="1">
      <alignment horizontal="center" vertical="center"/>
    </xf>
    <xf numFmtId="0" fontId="29" fillId="9" borderId="1" xfId="0" applyFont="1" applyFill="1" applyBorder="1" applyAlignment="1">
      <alignment horizontal="center" vertical="center" wrapText="1"/>
    </xf>
    <xf numFmtId="2" fontId="0" fillId="9" borderId="48" xfId="0" applyNumberFormat="1" applyFill="1" applyBorder="1" applyAlignment="1">
      <alignment horizontal="center" vertical="center"/>
    </xf>
    <xf numFmtId="2" fontId="0" fillId="9" borderId="42" xfId="0" applyNumberFormat="1" applyFill="1" applyBorder="1" applyAlignment="1">
      <alignment horizontal="center" vertical="center"/>
    </xf>
    <xf numFmtId="2" fontId="0" fillId="9" borderId="51" xfId="0" applyNumberFormat="1" applyFill="1" applyBorder="1" applyAlignment="1">
      <alignment horizontal="center" vertical="center"/>
    </xf>
    <xf numFmtId="2" fontId="0" fillId="9" borderId="49" xfId="0" applyNumberFormat="1" applyFill="1" applyBorder="1" applyAlignment="1">
      <alignment horizontal="center" vertical="center"/>
    </xf>
    <xf numFmtId="2" fontId="0" fillId="9" borderId="43" xfId="0" applyNumberFormat="1" applyFill="1" applyBorder="1" applyAlignment="1">
      <alignment horizontal="center" vertical="center"/>
    </xf>
    <xf numFmtId="2" fontId="0" fillId="9" borderId="52" xfId="0" applyNumberFormat="1" applyFill="1" applyBorder="1" applyAlignment="1">
      <alignment horizontal="center" vertical="center"/>
    </xf>
    <xf numFmtId="2" fontId="0" fillId="9" borderId="50" xfId="0" applyNumberFormat="1" applyFill="1" applyBorder="1" applyAlignment="1">
      <alignment horizontal="center" vertical="center"/>
    </xf>
    <xf numFmtId="2" fontId="0" fillId="9" borderId="44" xfId="0" applyNumberFormat="1" applyFill="1" applyBorder="1" applyAlignment="1">
      <alignment horizontal="center" vertical="center"/>
    </xf>
    <xf numFmtId="2" fontId="0" fillId="9" borderId="53" xfId="0" applyNumberFormat="1" applyFill="1" applyBorder="1" applyAlignment="1">
      <alignment horizontal="center" vertical="center"/>
    </xf>
    <xf numFmtId="0" fontId="0" fillId="9" borderId="0" xfId="0" applyFill="1" applyBorder="1"/>
    <xf numFmtId="0" fontId="0" fillId="0" borderId="0" xfId="0" applyBorder="1"/>
    <xf numFmtId="0" fontId="37" fillId="9" borderId="0" xfId="0" applyFont="1" applyFill="1" applyBorder="1" applyAlignment="1"/>
    <xf numFmtId="0" fontId="33" fillId="9" borderId="0" xfId="0" applyFont="1" applyFill="1" applyBorder="1"/>
    <xf numFmtId="0" fontId="0" fillId="9" borderId="37" xfId="0" applyFill="1" applyBorder="1"/>
    <xf numFmtId="0" fontId="0" fillId="9" borderId="38" xfId="0" applyFill="1" applyBorder="1"/>
    <xf numFmtId="0" fontId="0" fillId="9" borderId="39" xfId="0" applyFill="1" applyBorder="1"/>
    <xf numFmtId="0" fontId="0" fillId="9" borderId="40" xfId="0" applyFill="1" applyBorder="1"/>
    <xf numFmtId="0" fontId="0" fillId="9" borderId="41" xfId="0" applyFill="1" applyBorder="1"/>
    <xf numFmtId="0" fontId="0" fillId="9" borderId="45" xfId="0" applyFill="1" applyBorder="1"/>
    <xf numFmtId="0" fontId="0" fillId="9" borderId="46" xfId="0" applyFill="1" applyBorder="1"/>
    <xf numFmtId="0" fontId="0" fillId="9" borderId="47" xfId="0" applyFill="1" applyBorder="1"/>
    <xf numFmtId="0" fontId="0" fillId="0" borderId="0" xfId="0"/>
    <xf numFmtId="0" fontId="11" fillId="8" borderId="1" xfId="0" applyFont="1" applyFill="1" applyBorder="1" applyAlignment="1" applyProtection="1">
      <alignment horizontal="center" vertical="center"/>
    </xf>
    <xf numFmtId="0" fontId="11" fillId="8" borderId="2" xfId="0" applyFont="1" applyFill="1" applyBorder="1" applyAlignment="1" applyProtection="1">
      <alignment horizontal="center" vertical="center"/>
    </xf>
    <xf numFmtId="0" fontId="11" fillId="8" borderId="36" xfId="0" applyFont="1" applyFill="1" applyBorder="1" applyAlignment="1" applyProtection="1">
      <alignment horizontal="center" vertical="center"/>
    </xf>
    <xf numFmtId="0" fontId="11" fillId="8" borderId="3" xfId="0" applyFont="1" applyFill="1" applyBorder="1" applyAlignment="1" applyProtection="1">
      <alignment horizontal="center" vertical="center"/>
    </xf>
    <xf numFmtId="0" fontId="0" fillId="9" borderId="0" xfId="0" applyFill="1" applyProtection="1"/>
    <xf numFmtId="0" fontId="0" fillId="9" borderId="0" xfId="0" applyFill="1" applyBorder="1" applyProtection="1"/>
    <xf numFmtId="0" fontId="0" fillId="9" borderId="37" xfId="0" applyFill="1" applyBorder="1" applyProtection="1"/>
    <xf numFmtId="0" fontId="0" fillId="9" borderId="38" xfId="0" applyFill="1" applyBorder="1" applyProtection="1"/>
    <xf numFmtId="0" fontId="0" fillId="9" borderId="39" xfId="0" applyFill="1" applyBorder="1" applyProtection="1"/>
    <xf numFmtId="0" fontId="2" fillId="9" borderId="40" xfId="0" applyFont="1" applyFill="1" applyBorder="1" applyAlignment="1" applyProtection="1">
      <alignment horizontal="center" vertical="center" wrapText="1"/>
    </xf>
    <xf numFmtId="0" fontId="0" fillId="9" borderId="41" xfId="0" applyFill="1" applyBorder="1" applyProtection="1"/>
    <xf numFmtId="0" fontId="2" fillId="9" borderId="2" xfId="0" applyFont="1" applyFill="1" applyBorder="1" applyAlignment="1" applyProtection="1">
      <alignment horizontal="center"/>
    </xf>
    <xf numFmtId="0" fontId="2" fillId="7" borderId="2" xfId="0" applyFont="1" applyFill="1" applyBorder="1" applyAlignment="1" applyProtection="1">
      <alignment horizontal="center"/>
    </xf>
    <xf numFmtId="0" fontId="40" fillId="9" borderId="2" xfId="0" applyFont="1" applyFill="1" applyBorder="1" applyAlignment="1" applyProtection="1">
      <alignment horizontal="center" vertical="center"/>
    </xf>
    <xf numFmtId="0" fontId="40" fillId="9" borderId="10" xfId="0" applyFont="1" applyFill="1" applyBorder="1" applyAlignment="1" applyProtection="1">
      <alignment horizontal="center" vertical="center"/>
    </xf>
    <xf numFmtId="0" fontId="40" fillId="9" borderId="40" xfId="0" applyFont="1" applyFill="1" applyBorder="1" applyAlignment="1" applyProtection="1">
      <alignment horizontal="center" vertical="center"/>
    </xf>
    <xf numFmtId="0" fontId="40" fillId="9" borderId="36" xfId="0" applyFont="1" applyFill="1" applyBorder="1" applyAlignment="1" applyProtection="1">
      <alignment horizontal="center" vertical="center"/>
    </xf>
    <xf numFmtId="0" fontId="40" fillId="9" borderId="32" xfId="0" applyFont="1" applyFill="1" applyBorder="1" applyAlignment="1" applyProtection="1">
      <alignment horizontal="center" vertical="center"/>
    </xf>
    <xf numFmtId="0" fontId="40" fillId="9" borderId="3" xfId="0" applyFont="1" applyFill="1" applyBorder="1" applyAlignment="1" applyProtection="1">
      <alignment horizontal="center" vertical="center"/>
    </xf>
    <xf numFmtId="0" fontId="40" fillId="9" borderId="30" xfId="0" applyFont="1" applyFill="1" applyBorder="1" applyAlignment="1" applyProtection="1">
      <alignment horizontal="center" vertical="center"/>
    </xf>
    <xf numFmtId="0" fontId="0" fillId="9" borderId="40" xfId="0" applyFill="1" applyBorder="1" applyProtection="1"/>
    <xf numFmtId="0" fontId="0" fillId="0" borderId="0" xfId="0" applyProtection="1"/>
    <xf numFmtId="0" fontId="0" fillId="9" borderId="45" xfId="0" applyFill="1" applyBorder="1" applyProtection="1"/>
    <xf numFmtId="0" fontId="0" fillId="9" borderId="46" xfId="0" applyFill="1" applyBorder="1" applyProtection="1"/>
    <xf numFmtId="0" fontId="0" fillId="9" borderId="47" xfId="0" applyFill="1" applyBorder="1" applyProtection="1"/>
    <xf numFmtId="0" fontId="43" fillId="9" borderId="0" xfId="0" applyFont="1" applyFill="1" applyProtection="1"/>
    <xf numFmtId="0" fontId="43" fillId="9" borderId="0" xfId="0" applyFont="1" applyFill="1" applyAlignment="1" applyProtection="1">
      <alignment horizontal="center" vertical="center"/>
    </xf>
    <xf numFmtId="0" fontId="11" fillId="8" borderId="18" xfId="0" applyFont="1" applyFill="1" applyBorder="1" applyAlignment="1">
      <alignment horizontal="right" vertical="center"/>
    </xf>
    <xf numFmtId="0" fontId="11" fillId="8" borderId="12" xfId="0" applyFont="1" applyFill="1" applyBorder="1" applyAlignment="1">
      <alignment vertical="center"/>
    </xf>
    <xf numFmtId="168" fontId="11" fillId="8" borderId="18" xfId="0" applyNumberFormat="1" applyFont="1" applyFill="1" applyBorder="1" applyAlignment="1">
      <alignment horizontal="right" vertical="center"/>
    </xf>
    <xf numFmtId="2" fontId="11" fillId="8" borderId="18" xfId="0" applyNumberFormat="1" applyFont="1" applyFill="1" applyBorder="1" applyAlignment="1">
      <alignment horizontal="right" vertical="center"/>
    </xf>
    <xf numFmtId="165" fontId="11" fillId="8" borderId="18" xfId="0" applyNumberFormat="1" applyFont="1" applyFill="1" applyBorder="1" applyAlignment="1">
      <alignment horizontal="right" vertical="center"/>
    </xf>
    <xf numFmtId="0" fontId="11" fillId="8" borderId="12" xfId="0" applyFont="1" applyFill="1" applyBorder="1" applyAlignment="1"/>
    <xf numFmtId="1" fontId="11" fillId="8" borderId="30" xfId="0" applyNumberFormat="1" applyFont="1" applyFill="1" applyBorder="1"/>
    <xf numFmtId="0" fontId="11" fillId="8" borderId="35" xfId="0" applyFont="1" applyFill="1" applyBorder="1"/>
    <xf numFmtId="0" fontId="2" fillId="9" borderId="0" xfId="0" applyFont="1" applyFill="1" applyBorder="1"/>
    <xf numFmtId="0" fontId="2" fillId="2" borderId="18" xfId="0" applyFont="1" applyFill="1" applyBorder="1" applyAlignment="1" applyProtection="1">
      <protection locked="0"/>
    </xf>
    <xf numFmtId="0" fontId="29" fillId="9" borderId="36" xfId="0" applyFont="1" applyFill="1" applyBorder="1" applyAlignment="1">
      <alignment vertical="center" wrapText="1"/>
    </xf>
    <xf numFmtId="0" fontId="29" fillId="9" borderId="3" xfId="0" applyFont="1" applyFill="1" applyBorder="1" applyAlignment="1">
      <alignment vertical="center" wrapText="1"/>
    </xf>
    <xf numFmtId="0" fontId="0" fillId="0" borderId="2" xfId="0" applyBorder="1"/>
    <xf numFmtId="0" fontId="0" fillId="9" borderId="11" xfId="0" applyFill="1" applyBorder="1" applyAlignment="1"/>
    <xf numFmtId="0" fontId="0" fillId="9" borderId="31" xfId="0" applyFill="1" applyBorder="1" applyAlignment="1"/>
    <xf numFmtId="0" fontId="0" fillId="9" borderId="0" xfId="0" applyFill="1" applyBorder="1" applyAlignment="1"/>
    <xf numFmtId="0" fontId="0" fillId="9" borderId="33" xfId="0" applyFill="1" applyBorder="1" applyAlignment="1"/>
    <xf numFmtId="0" fontId="5" fillId="9" borderId="11" xfId="0" applyFont="1" applyFill="1" applyBorder="1" applyAlignment="1">
      <alignment horizontal="center"/>
    </xf>
    <xf numFmtId="0" fontId="5" fillId="9" borderId="0" xfId="0" applyFont="1" applyFill="1" applyBorder="1" applyAlignment="1">
      <alignment horizontal="center"/>
    </xf>
    <xf numFmtId="0" fontId="0" fillId="9" borderId="0" xfId="0" applyFill="1" applyBorder="1" applyAlignment="1" applyProtection="1">
      <alignment horizontal="right" vertical="center"/>
      <protection locked="0"/>
    </xf>
    <xf numFmtId="0" fontId="0" fillId="9" borderId="0" xfId="0" applyFill="1" applyAlignment="1" applyProtection="1">
      <alignment horizontal="center" vertical="center"/>
    </xf>
    <xf numFmtId="0" fontId="30" fillId="9" borderId="0" xfId="0" applyFont="1" applyFill="1" applyAlignment="1" applyProtection="1">
      <alignment vertical="center" wrapText="1"/>
    </xf>
    <xf numFmtId="0" fontId="8" fillId="9" borderId="0" xfId="0" applyFont="1" applyFill="1" applyBorder="1" applyAlignment="1" applyProtection="1">
      <alignment horizontal="center" vertical="center"/>
    </xf>
    <xf numFmtId="0" fontId="5" fillId="9" borderId="0" xfId="0" applyFont="1" applyFill="1" applyBorder="1" applyAlignment="1" applyProtection="1">
      <alignment horizontal="center" vertical="center"/>
    </xf>
    <xf numFmtId="0" fontId="5" fillId="9" borderId="0" xfId="0" applyFont="1" applyFill="1" applyBorder="1" applyAlignment="1" applyProtection="1">
      <alignment horizontal="center" vertical="center"/>
    </xf>
    <xf numFmtId="0" fontId="5" fillId="9" borderId="0" xfId="0" applyFont="1" applyFill="1" applyBorder="1" applyAlignment="1" applyProtection="1">
      <alignment horizontal="center" vertical="center" wrapText="1"/>
    </xf>
    <xf numFmtId="0" fontId="5" fillId="0" borderId="0" xfId="0" applyFont="1" applyBorder="1" applyAlignment="1" applyProtection="1">
      <alignment horizontal="center" vertical="center"/>
    </xf>
    <xf numFmtId="0" fontId="8" fillId="9" borderId="0" xfId="0" applyFont="1" applyFill="1" applyBorder="1" applyAlignment="1" applyProtection="1">
      <alignment horizontal="center" vertical="center"/>
    </xf>
    <xf numFmtId="0" fontId="5" fillId="9" borderId="0" xfId="0" applyFont="1" applyFill="1" applyBorder="1" applyAlignment="1" applyProtection="1">
      <alignment horizontal="center" vertical="center"/>
    </xf>
    <xf numFmtId="0" fontId="29" fillId="7" borderId="18" xfId="0" applyFont="1" applyFill="1" applyBorder="1" applyAlignment="1" applyProtection="1">
      <alignment horizontal="center" vertical="center" wrapText="1"/>
    </xf>
    <xf numFmtId="0" fontId="29" fillId="7" borderId="12" xfId="0" applyFont="1" applyFill="1" applyBorder="1" applyAlignment="1" applyProtection="1">
      <alignment horizontal="center" vertical="center" wrapText="1"/>
    </xf>
    <xf numFmtId="0" fontId="26" fillId="2" borderId="18" xfId="0" applyFont="1" applyFill="1" applyBorder="1" applyAlignment="1" applyProtection="1">
      <alignment horizontal="center" vertical="center"/>
      <protection locked="0"/>
    </xf>
    <xf numFmtId="0" fontId="26" fillId="2" borderId="12" xfId="0" applyFont="1" applyFill="1" applyBorder="1" applyAlignment="1" applyProtection="1">
      <alignment horizontal="center" vertical="center"/>
      <protection locked="0"/>
    </xf>
    <xf numFmtId="2" fontId="26" fillId="2" borderId="2" xfId="0" applyNumberFormat="1" applyFont="1" applyFill="1" applyBorder="1" applyAlignment="1" applyProtection="1">
      <alignment horizontal="center" vertical="center"/>
      <protection locked="0"/>
    </xf>
    <xf numFmtId="2" fontId="26" fillId="2" borderId="3" xfId="0" applyNumberFormat="1" applyFont="1" applyFill="1" applyBorder="1" applyAlignment="1" applyProtection="1">
      <alignment horizontal="center" vertical="center"/>
      <protection locked="0"/>
    </xf>
    <xf numFmtId="168" fontId="11" fillId="8" borderId="2" xfId="0" applyNumberFormat="1" applyFont="1" applyFill="1" applyBorder="1" applyAlignment="1" applyProtection="1">
      <alignment horizontal="center" vertical="center"/>
    </xf>
    <xf numFmtId="168" fontId="11" fillId="8" borderId="3" xfId="0" applyNumberFormat="1" applyFont="1" applyFill="1" applyBorder="1" applyAlignment="1" applyProtection="1">
      <alignment horizontal="center" vertical="center"/>
    </xf>
    <xf numFmtId="0" fontId="2" fillId="7" borderId="2" xfId="0" applyFont="1" applyFill="1" applyBorder="1" applyAlignment="1" applyProtection="1">
      <alignment horizontal="center" vertical="center" wrapText="1"/>
    </xf>
    <xf numFmtId="0" fontId="2" fillId="7" borderId="3" xfId="0" applyFont="1" applyFill="1" applyBorder="1" applyAlignment="1" applyProtection="1">
      <alignment horizontal="center" vertical="center" wrapText="1"/>
    </xf>
    <xf numFmtId="0" fontId="11" fillId="8" borderId="1" xfId="0" applyFont="1" applyFill="1" applyBorder="1" applyAlignment="1" applyProtection="1">
      <alignment horizontal="center" vertical="center" wrapText="1"/>
    </xf>
    <xf numFmtId="0" fontId="23" fillId="7" borderId="30" xfId="0" applyFont="1" applyFill="1" applyBorder="1" applyAlignment="1" applyProtection="1">
      <alignment horizontal="center" vertical="center" wrapText="1"/>
    </xf>
    <xf numFmtId="0" fontId="23" fillId="7" borderId="35" xfId="0" applyFont="1" applyFill="1" applyBorder="1" applyAlignment="1" applyProtection="1">
      <alignment horizontal="center" vertical="center" wrapText="1"/>
    </xf>
    <xf numFmtId="0" fontId="26" fillId="2" borderId="30" xfId="0" applyFont="1" applyFill="1" applyBorder="1" applyAlignment="1" applyProtection="1">
      <alignment horizontal="center" vertical="center" wrapText="1"/>
      <protection locked="0"/>
    </xf>
    <xf numFmtId="0" fontId="26" fillId="2" borderId="34" xfId="0" applyFont="1" applyFill="1" applyBorder="1" applyAlignment="1" applyProtection="1">
      <alignment horizontal="center" vertical="center" wrapText="1"/>
      <protection locked="0"/>
    </xf>
    <xf numFmtId="0" fontId="26" fillId="2" borderId="35" xfId="0" applyFont="1" applyFill="1" applyBorder="1" applyAlignment="1" applyProtection="1">
      <alignment horizontal="center" vertical="center" wrapText="1"/>
      <protection locked="0"/>
    </xf>
    <xf numFmtId="0" fontId="23" fillId="7" borderId="18" xfId="0" applyFont="1" applyFill="1" applyBorder="1" applyAlignment="1" applyProtection="1">
      <alignment horizontal="center" vertical="center" wrapText="1"/>
    </xf>
    <xf numFmtId="0" fontId="23" fillId="7" borderId="12" xfId="0" applyFont="1" applyFill="1" applyBorder="1" applyAlignment="1" applyProtection="1">
      <alignment horizontal="center" vertical="center" wrapText="1"/>
    </xf>
    <xf numFmtId="20" fontId="26" fillId="2" borderId="18" xfId="0" applyNumberFormat="1" applyFont="1" applyFill="1" applyBorder="1" applyAlignment="1" applyProtection="1">
      <alignment horizontal="center" vertical="center"/>
      <protection locked="0"/>
    </xf>
    <xf numFmtId="20" fontId="26" fillId="2" borderId="19" xfId="0" applyNumberFormat="1" applyFont="1" applyFill="1" applyBorder="1" applyAlignment="1" applyProtection="1">
      <alignment horizontal="center" vertical="center"/>
      <protection locked="0"/>
    </xf>
    <xf numFmtId="20" fontId="26" fillId="2" borderId="12" xfId="0" applyNumberFormat="1" applyFont="1" applyFill="1" applyBorder="1" applyAlignment="1" applyProtection="1">
      <alignment horizontal="center" vertical="center"/>
      <protection locked="0"/>
    </xf>
    <xf numFmtId="0" fontId="26" fillId="2" borderId="18" xfId="0" applyFont="1" applyFill="1" applyBorder="1" applyAlignment="1" applyProtection="1">
      <alignment horizontal="center" vertical="center" wrapText="1"/>
      <protection locked="0"/>
    </xf>
    <xf numFmtId="0" fontId="26" fillId="2" borderId="19" xfId="0" applyFont="1" applyFill="1" applyBorder="1" applyAlignment="1" applyProtection="1">
      <alignment horizontal="center" vertical="center" wrapText="1"/>
      <protection locked="0"/>
    </xf>
    <xf numFmtId="0" fontId="26" fillId="2" borderId="12" xfId="0" applyFont="1" applyFill="1" applyBorder="1" applyAlignment="1" applyProtection="1">
      <alignment horizontal="center" vertical="center" wrapText="1"/>
      <protection locked="0"/>
    </xf>
    <xf numFmtId="0" fontId="20" fillId="10" borderId="10" xfId="0" applyFont="1" applyFill="1" applyBorder="1" applyAlignment="1" applyProtection="1">
      <alignment horizontal="center" vertical="center" wrapText="1"/>
    </xf>
    <xf numFmtId="0" fontId="20" fillId="10" borderId="11" xfId="0" applyFont="1" applyFill="1" applyBorder="1" applyAlignment="1" applyProtection="1">
      <alignment horizontal="center" vertical="center" wrapText="1"/>
    </xf>
    <xf numFmtId="0" fontId="20" fillId="10" borderId="31" xfId="0" applyFont="1" applyFill="1" applyBorder="1" applyAlignment="1" applyProtection="1">
      <alignment horizontal="center" vertical="center" wrapText="1"/>
    </xf>
    <xf numFmtId="0" fontId="20" fillId="10" borderId="32" xfId="0" applyFont="1" applyFill="1" applyBorder="1" applyAlignment="1" applyProtection="1">
      <alignment horizontal="center" vertical="center" wrapText="1"/>
    </xf>
    <xf numFmtId="0" fontId="20" fillId="10" borderId="0" xfId="0" applyFont="1" applyFill="1" applyBorder="1" applyAlignment="1" applyProtection="1">
      <alignment horizontal="center" vertical="center" wrapText="1"/>
    </xf>
    <xf numFmtId="0" fontId="20" fillId="10" borderId="33" xfId="0" applyFont="1" applyFill="1" applyBorder="1" applyAlignment="1" applyProtection="1">
      <alignment horizontal="center" vertical="center" wrapText="1"/>
    </xf>
    <xf numFmtId="0" fontId="20" fillId="10" borderId="30" xfId="0" applyFont="1" applyFill="1" applyBorder="1" applyAlignment="1" applyProtection="1">
      <alignment horizontal="center" vertical="center" wrapText="1"/>
    </xf>
    <xf numFmtId="0" fontId="20" fillId="10" borderId="34" xfId="0" applyFont="1" applyFill="1" applyBorder="1" applyAlignment="1" applyProtection="1">
      <alignment horizontal="center" vertical="center" wrapText="1"/>
    </xf>
    <xf numFmtId="0" fontId="20" fillId="10" borderId="35" xfId="0" applyFont="1" applyFill="1" applyBorder="1" applyAlignment="1" applyProtection="1">
      <alignment horizontal="center" vertical="center" wrapText="1"/>
    </xf>
    <xf numFmtId="0" fontId="26" fillId="2" borderId="19" xfId="0" applyFont="1" applyFill="1" applyBorder="1" applyAlignment="1" applyProtection="1">
      <alignment horizontal="center" vertical="center"/>
      <protection locked="0"/>
    </xf>
    <xf numFmtId="0" fontId="14" fillId="9" borderId="10" xfId="0" applyFont="1" applyFill="1" applyBorder="1" applyAlignment="1" applyProtection="1">
      <alignment horizontal="center" vertical="center" wrapText="1"/>
    </xf>
    <xf numFmtId="0" fontId="14" fillId="9" borderId="11" xfId="0" applyFont="1" applyFill="1" applyBorder="1" applyAlignment="1" applyProtection="1">
      <alignment horizontal="center" vertical="center" wrapText="1"/>
    </xf>
    <xf numFmtId="0" fontId="14" fillId="9" borderId="31" xfId="0" applyFont="1" applyFill="1" applyBorder="1" applyAlignment="1" applyProtection="1">
      <alignment horizontal="center" vertical="center" wrapText="1"/>
    </xf>
    <xf numFmtId="0" fontId="14" fillId="9" borderId="32" xfId="0" applyFont="1" applyFill="1" applyBorder="1" applyAlignment="1" applyProtection="1">
      <alignment horizontal="center" vertical="center" wrapText="1"/>
    </xf>
    <xf numFmtId="0" fontId="14" fillId="9" borderId="0" xfId="0" applyFont="1" applyFill="1" applyBorder="1" applyAlignment="1" applyProtection="1">
      <alignment horizontal="center" vertical="center" wrapText="1"/>
    </xf>
    <xf numFmtId="0" fontId="14" fillId="9" borderId="33" xfId="0" applyFont="1" applyFill="1" applyBorder="1" applyAlignment="1" applyProtection="1">
      <alignment horizontal="center" vertical="center" wrapText="1"/>
    </xf>
    <xf numFmtId="0" fontId="14" fillId="9" borderId="30" xfId="0" applyFont="1" applyFill="1" applyBorder="1" applyAlignment="1" applyProtection="1">
      <alignment horizontal="center" vertical="center" wrapText="1"/>
    </xf>
    <xf numFmtId="0" fontId="14" fillId="9" borderId="34" xfId="0" applyFont="1" applyFill="1" applyBorder="1" applyAlignment="1" applyProtection="1">
      <alignment horizontal="center" vertical="center" wrapText="1"/>
    </xf>
    <xf numFmtId="0" fontId="14" fillId="9" borderId="35" xfId="0" applyFont="1" applyFill="1" applyBorder="1" applyAlignment="1" applyProtection="1">
      <alignment horizontal="center" vertical="center" wrapText="1"/>
    </xf>
    <xf numFmtId="2" fontId="26" fillId="2" borderId="18" xfId="0" applyNumberFormat="1" applyFont="1" applyFill="1" applyBorder="1" applyAlignment="1" applyProtection="1">
      <alignment horizontal="center" vertical="center"/>
      <protection locked="0"/>
    </xf>
    <xf numFmtId="2" fontId="26" fillId="2" borderId="12" xfId="0" applyNumberFormat="1" applyFont="1" applyFill="1" applyBorder="1" applyAlignment="1" applyProtection="1">
      <alignment horizontal="center" vertical="center"/>
      <protection locked="0"/>
    </xf>
    <xf numFmtId="0" fontId="26" fillId="2" borderId="10" xfId="0" applyFont="1" applyFill="1" applyBorder="1" applyAlignment="1" applyProtection="1">
      <alignment horizontal="center" vertical="center" wrapText="1"/>
      <protection locked="0"/>
    </xf>
    <xf numFmtId="0" fontId="26" fillId="2" borderId="11" xfId="0" applyFont="1" applyFill="1" applyBorder="1" applyAlignment="1" applyProtection="1">
      <alignment horizontal="center" vertical="center" wrapText="1"/>
      <protection locked="0"/>
    </xf>
    <xf numFmtId="0" fontId="26" fillId="2" borderId="31" xfId="0" applyFont="1" applyFill="1" applyBorder="1" applyAlignment="1" applyProtection="1">
      <alignment horizontal="center" vertical="center" wrapText="1"/>
      <protection locked="0"/>
    </xf>
    <xf numFmtId="0" fontId="0" fillId="9" borderId="11" xfId="0" applyFill="1" applyBorder="1" applyAlignment="1" applyProtection="1">
      <alignment horizontal="center" vertical="center"/>
    </xf>
    <xf numFmtId="0" fontId="0" fillId="9" borderId="0" xfId="0" applyFill="1" applyBorder="1" applyAlignment="1" applyProtection="1">
      <alignment horizontal="center" vertical="center"/>
    </xf>
    <xf numFmtId="0" fontId="2" fillId="9" borderId="0" xfId="0" applyFont="1" applyFill="1" applyBorder="1" applyAlignment="1" applyProtection="1">
      <alignment horizontal="center" vertical="center"/>
    </xf>
    <xf numFmtId="166" fontId="2" fillId="6" borderId="1" xfId="0" applyNumberFormat="1" applyFont="1" applyFill="1" applyBorder="1" applyAlignment="1" applyProtection="1">
      <alignment horizontal="center" vertical="center" wrapText="1"/>
    </xf>
    <xf numFmtId="0" fontId="2" fillId="7" borderId="2" xfId="0" applyFont="1" applyFill="1" applyBorder="1" applyAlignment="1" applyProtection="1">
      <alignment horizontal="center" vertical="center"/>
    </xf>
    <xf numFmtId="0" fontId="2" fillId="7" borderId="3" xfId="0" applyFont="1" applyFill="1" applyBorder="1" applyAlignment="1" applyProtection="1">
      <alignment horizontal="center" vertical="center"/>
    </xf>
    <xf numFmtId="2" fontId="27" fillId="8" borderId="2" xfId="0" applyNumberFormat="1" applyFont="1" applyFill="1" applyBorder="1" applyAlignment="1" applyProtection="1">
      <alignment horizontal="center" vertical="center" wrapText="1"/>
    </xf>
    <xf numFmtId="2" fontId="27" fillId="8" borderId="3" xfId="0" applyNumberFormat="1" applyFont="1" applyFill="1" applyBorder="1" applyAlignment="1" applyProtection="1">
      <alignment horizontal="center" vertical="center" wrapText="1"/>
    </xf>
    <xf numFmtId="2" fontId="11" fillId="8" borderId="2" xfId="0" applyNumberFormat="1" applyFont="1" applyFill="1" applyBorder="1" applyAlignment="1" applyProtection="1">
      <alignment horizontal="center" vertical="center" wrapText="1"/>
    </xf>
    <xf numFmtId="2" fontId="11" fillId="8" borderId="3" xfId="0" applyNumberFormat="1" applyFont="1" applyFill="1" applyBorder="1" applyAlignment="1" applyProtection="1">
      <alignment horizontal="center" vertical="center" wrapText="1"/>
    </xf>
    <xf numFmtId="0" fontId="8" fillId="9" borderId="0" xfId="0" applyFont="1" applyFill="1" applyBorder="1" applyAlignment="1" applyProtection="1">
      <alignment horizontal="center" vertical="center"/>
    </xf>
    <xf numFmtId="2" fontId="26" fillId="2" borderId="28" xfId="0" applyNumberFormat="1" applyFont="1" applyFill="1" applyBorder="1" applyAlignment="1" applyProtection="1">
      <alignment horizontal="center" vertical="center"/>
      <protection locked="0"/>
    </xf>
    <xf numFmtId="2" fontId="26" fillId="2" borderId="22" xfId="0" applyNumberFormat="1" applyFont="1" applyFill="1" applyBorder="1" applyAlignment="1" applyProtection="1">
      <alignment horizontal="center" vertical="center"/>
      <protection locked="0"/>
    </xf>
    <xf numFmtId="2" fontId="26" fillId="2" borderId="29" xfId="0" applyNumberFormat="1" applyFont="1" applyFill="1" applyBorder="1" applyAlignment="1" applyProtection="1">
      <alignment horizontal="center" vertical="center"/>
      <protection locked="0"/>
    </xf>
    <xf numFmtId="2" fontId="2" fillId="5" borderId="12" xfId="0" applyNumberFormat="1" applyFont="1" applyFill="1" applyBorder="1" applyAlignment="1" applyProtection="1">
      <alignment horizontal="center" vertical="center" wrapText="1"/>
    </xf>
    <xf numFmtId="2" fontId="2" fillId="5" borderId="1" xfId="0" applyNumberFormat="1" applyFont="1" applyFill="1" applyBorder="1" applyAlignment="1" applyProtection="1">
      <alignment horizontal="center" vertical="center" wrapText="1"/>
    </xf>
    <xf numFmtId="2" fontId="2" fillId="6" borderId="2" xfId="0" applyNumberFormat="1" applyFont="1" applyFill="1" applyBorder="1" applyAlignment="1" applyProtection="1">
      <alignment horizontal="center" vertical="center" wrapText="1"/>
    </xf>
    <xf numFmtId="2" fontId="2" fillId="6" borderId="3" xfId="0" applyNumberFormat="1" applyFont="1" applyFill="1" applyBorder="1" applyAlignment="1" applyProtection="1">
      <alignment horizontal="center" vertical="center" wrapText="1"/>
    </xf>
    <xf numFmtId="0" fontId="23" fillId="9" borderId="0" xfId="0" applyFont="1" applyFill="1" applyAlignment="1" applyProtection="1">
      <alignment horizontal="center" vertical="center"/>
    </xf>
    <xf numFmtId="0" fontId="2" fillId="9" borderId="11" xfId="0" applyFont="1" applyFill="1" applyBorder="1" applyAlignment="1" applyProtection="1">
      <alignment horizontal="center" vertical="center"/>
    </xf>
    <xf numFmtId="2" fontId="26" fillId="2" borderId="24" xfId="0" applyNumberFormat="1" applyFont="1" applyFill="1" applyBorder="1" applyAlignment="1" applyProtection="1">
      <alignment horizontal="center" vertical="center"/>
      <protection locked="0"/>
    </xf>
    <xf numFmtId="2" fontId="26" fillId="2" borderId="27" xfId="0" applyNumberFormat="1" applyFont="1" applyFill="1" applyBorder="1" applyAlignment="1" applyProtection="1">
      <alignment horizontal="center" vertical="center"/>
      <protection locked="0"/>
    </xf>
    <xf numFmtId="2" fontId="26" fillId="2" borderId="21" xfId="0" applyNumberFormat="1" applyFont="1" applyFill="1" applyBorder="1" applyAlignment="1" applyProtection="1">
      <alignment horizontal="center" vertical="center"/>
      <protection locked="0"/>
    </xf>
    <xf numFmtId="2" fontId="26" fillId="2" borderId="20" xfId="0" applyNumberFormat="1" applyFont="1" applyFill="1" applyBorder="1" applyAlignment="1" applyProtection="1">
      <alignment horizontal="center" vertical="center"/>
      <protection locked="0"/>
    </xf>
    <xf numFmtId="2" fontId="26" fillId="0" borderId="1" xfId="0" applyNumberFormat="1" applyFont="1" applyBorder="1" applyAlignment="1" applyProtection="1">
      <alignment horizontal="center" vertical="center" wrapText="1"/>
    </xf>
    <xf numFmtId="2" fontId="26" fillId="0" borderId="1" xfId="0" applyNumberFormat="1" applyFont="1" applyFill="1" applyBorder="1" applyAlignment="1" applyProtection="1">
      <alignment horizontal="center" vertical="center" wrapText="1"/>
    </xf>
    <xf numFmtId="2" fontId="26" fillId="2" borderId="17" xfId="0" applyNumberFormat="1" applyFont="1" applyFill="1" applyBorder="1" applyAlignment="1" applyProtection="1">
      <alignment horizontal="center" vertical="center"/>
      <protection locked="0"/>
    </xf>
    <xf numFmtId="2" fontId="26" fillId="2" borderId="16" xfId="0" applyNumberFormat="1" applyFont="1" applyFill="1" applyBorder="1" applyAlignment="1" applyProtection="1">
      <alignment horizontal="center" vertical="center"/>
      <protection locked="0"/>
    </xf>
    <xf numFmtId="2" fontId="26" fillId="2" borderId="1" xfId="0" applyNumberFormat="1" applyFont="1" applyFill="1" applyBorder="1" applyAlignment="1" applyProtection="1">
      <alignment horizontal="center" vertical="center"/>
      <protection locked="0"/>
    </xf>
    <xf numFmtId="2" fontId="26" fillId="2" borderId="13" xfId="0" applyNumberFormat="1" applyFont="1" applyFill="1" applyBorder="1" applyAlignment="1" applyProtection="1">
      <alignment horizontal="center" vertical="center"/>
      <protection locked="0"/>
    </xf>
    <xf numFmtId="2" fontId="26" fillId="2" borderId="14" xfId="0" applyNumberFormat="1" applyFont="1" applyFill="1" applyBorder="1" applyAlignment="1" applyProtection="1">
      <alignment horizontal="center" vertical="center"/>
      <protection locked="0"/>
    </xf>
    <xf numFmtId="2" fontId="26" fillId="2" borderId="15" xfId="0" applyNumberFormat="1" applyFont="1" applyFill="1" applyBorder="1" applyAlignment="1" applyProtection="1">
      <alignment horizontal="center" vertical="center"/>
      <protection locked="0"/>
    </xf>
    <xf numFmtId="2" fontId="26" fillId="2" borderId="25" xfId="0" applyNumberFormat="1" applyFont="1" applyFill="1" applyBorder="1" applyAlignment="1" applyProtection="1">
      <alignment horizontal="center" vertical="center"/>
      <protection locked="0"/>
    </xf>
    <xf numFmtId="2" fontId="26" fillId="2" borderId="26" xfId="0" applyNumberFormat="1" applyFont="1" applyFill="1" applyBorder="1" applyAlignment="1" applyProtection="1">
      <alignment horizontal="center" vertical="center"/>
      <protection locked="0"/>
    </xf>
    <xf numFmtId="0" fontId="2" fillId="6" borderId="1" xfId="0" applyFont="1" applyFill="1" applyBorder="1" applyAlignment="1" applyProtection="1">
      <alignment horizontal="center" vertical="center" wrapText="1"/>
    </xf>
    <xf numFmtId="0" fontId="0" fillId="0" borderId="1" xfId="0" applyBorder="1" applyAlignment="1" applyProtection="1">
      <alignment horizontal="center" vertical="center" wrapText="1"/>
    </xf>
    <xf numFmtId="0" fontId="0" fillId="0" borderId="2" xfId="0" applyBorder="1" applyAlignment="1" applyProtection="1">
      <alignment horizontal="center" vertical="center" wrapText="1"/>
    </xf>
    <xf numFmtId="0" fontId="0" fillId="5" borderId="1" xfId="0" applyFill="1" applyBorder="1" applyAlignment="1" applyProtection="1">
      <alignment horizontal="center" vertical="center" wrapText="1"/>
    </xf>
    <xf numFmtId="0" fontId="2" fillId="6" borderId="2" xfId="0" applyFont="1" applyFill="1" applyBorder="1" applyAlignment="1" applyProtection="1">
      <alignment horizontal="center" vertical="center" wrapText="1"/>
    </xf>
    <xf numFmtId="0" fontId="2" fillId="6" borderId="3" xfId="0" applyFont="1" applyFill="1" applyBorder="1" applyAlignment="1" applyProtection="1">
      <alignment horizontal="center" vertical="center" wrapText="1"/>
    </xf>
    <xf numFmtId="2" fontId="26" fillId="2" borderId="23" xfId="0" applyNumberFormat="1" applyFont="1" applyFill="1" applyBorder="1" applyAlignment="1" applyProtection="1">
      <alignment horizontal="center" vertical="center"/>
      <protection locked="0"/>
    </xf>
    <xf numFmtId="0" fontId="26" fillId="0" borderId="1" xfId="0" applyFont="1" applyBorder="1" applyAlignment="1" applyProtection="1">
      <alignment horizontal="center" vertical="center" wrapText="1"/>
    </xf>
    <xf numFmtId="0" fontId="2" fillId="7" borderId="1" xfId="0" applyFont="1" applyFill="1" applyBorder="1" applyAlignment="1" applyProtection="1">
      <alignment horizontal="center" vertical="center" wrapText="1"/>
    </xf>
    <xf numFmtId="0" fontId="2" fillId="7" borderId="1" xfId="0" applyFont="1" applyFill="1" applyBorder="1" applyAlignment="1" applyProtection="1">
      <alignment horizontal="center" vertical="center"/>
    </xf>
    <xf numFmtId="0" fontId="23" fillId="7" borderId="10" xfId="0" applyFont="1" applyFill="1" applyBorder="1" applyAlignment="1" applyProtection="1">
      <alignment horizontal="center" vertical="center" wrapText="1"/>
    </xf>
    <xf numFmtId="0" fontId="23" fillId="7" borderId="31" xfId="0" applyFont="1" applyFill="1" applyBorder="1" applyAlignment="1" applyProtection="1">
      <alignment horizontal="center" vertical="center" wrapText="1"/>
    </xf>
    <xf numFmtId="0" fontId="27" fillId="8" borderId="2" xfId="0" applyFont="1" applyFill="1" applyBorder="1" applyAlignment="1" applyProtection="1">
      <alignment horizontal="center" vertical="center" wrapText="1"/>
    </xf>
    <xf numFmtId="0" fontId="27" fillId="8" borderId="3" xfId="0" applyFont="1" applyFill="1" applyBorder="1" applyAlignment="1" applyProtection="1">
      <alignment horizontal="center" vertical="center" wrapText="1"/>
    </xf>
    <xf numFmtId="0" fontId="11" fillId="8" borderId="2" xfId="0" applyFont="1" applyFill="1" applyBorder="1" applyAlignment="1" applyProtection="1">
      <alignment horizontal="center" vertical="center" wrapText="1"/>
    </xf>
    <xf numFmtId="0" fontId="11" fillId="8" borderId="3" xfId="0" applyFont="1" applyFill="1" applyBorder="1" applyAlignment="1" applyProtection="1">
      <alignment horizontal="center" vertical="center" wrapText="1"/>
    </xf>
    <xf numFmtId="2" fontId="14" fillId="9" borderId="11" xfId="0" applyNumberFormat="1" applyFont="1" applyFill="1" applyBorder="1" applyAlignment="1" applyProtection="1">
      <alignment horizontal="center" vertical="center" textRotation="90"/>
    </xf>
    <xf numFmtId="2" fontId="14" fillId="9" borderId="0" xfId="0" applyNumberFormat="1" applyFont="1" applyFill="1" applyBorder="1" applyAlignment="1" applyProtection="1">
      <alignment horizontal="center" vertical="center" textRotation="90"/>
    </xf>
    <xf numFmtId="2" fontId="14" fillId="9" borderId="31" xfId="0" applyNumberFormat="1" applyFont="1" applyFill="1" applyBorder="1" applyAlignment="1" applyProtection="1">
      <alignment horizontal="center" vertical="center" textRotation="90"/>
    </xf>
    <xf numFmtId="2" fontId="14" fillId="9" borderId="33" xfId="0" applyNumberFormat="1" applyFont="1" applyFill="1" applyBorder="1" applyAlignment="1" applyProtection="1">
      <alignment horizontal="center" vertical="center" textRotation="90"/>
    </xf>
    <xf numFmtId="0" fontId="17" fillId="4" borderId="18" xfId="0" applyFont="1" applyFill="1" applyBorder="1" applyAlignment="1" applyProtection="1">
      <alignment horizontal="center" vertical="center"/>
    </xf>
    <xf numFmtId="0" fontId="17" fillId="4" borderId="19" xfId="0" applyFont="1" applyFill="1" applyBorder="1" applyAlignment="1" applyProtection="1">
      <alignment horizontal="center" vertical="center"/>
    </xf>
    <xf numFmtId="0" fontId="17" fillId="4" borderId="12" xfId="0" applyFont="1" applyFill="1" applyBorder="1" applyAlignment="1" applyProtection="1">
      <alignment horizontal="center" vertical="center"/>
    </xf>
    <xf numFmtId="14" fontId="26" fillId="2" borderId="18" xfId="0" applyNumberFormat="1" applyFont="1" applyFill="1" applyBorder="1" applyAlignment="1" applyProtection="1">
      <alignment horizontal="center" vertical="center"/>
      <protection locked="0"/>
    </xf>
    <xf numFmtId="0" fontId="0" fillId="9" borderId="0" xfId="0" applyFill="1" applyAlignment="1" applyProtection="1">
      <alignment horizontal="center" vertical="center"/>
    </xf>
    <xf numFmtId="0" fontId="15" fillId="9" borderId="0" xfId="0" applyFont="1" applyFill="1" applyBorder="1" applyAlignment="1" applyProtection="1">
      <alignment horizontal="center" vertical="center" wrapText="1"/>
    </xf>
    <xf numFmtId="0" fontId="30" fillId="9" borderId="0" xfId="0" applyFont="1" applyFill="1" applyAlignment="1" applyProtection="1">
      <alignment horizontal="center" vertical="center" wrapText="1"/>
    </xf>
    <xf numFmtId="0" fontId="4" fillId="7" borderId="1" xfId="0" applyFont="1" applyFill="1" applyBorder="1" applyAlignment="1" applyProtection="1">
      <alignment horizontal="center" vertical="center"/>
    </xf>
    <xf numFmtId="164" fontId="7" fillId="3" borderId="4" xfId="0" applyNumberFormat="1" applyFont="1" applyFill="1" applyBorder="1" applyAlignment="1" applyProtection="1">
      <alignment horizontal="center" vertical="center" wrapText="1"/>
    </xf>
    <xf numFmtId="164" fontId="7" fillId="3" borderId="5" xfId="0" applyNumberFormat="1" applyFont="1" applyFill="1" applyBorder="1" applyAlignment="1" applyProtection="1">
      <alignment horizontal="center" vertical="center" wrapText="1"/>
    </xf>
    <xf numFmtId="164" fontId="7" fillId="3" borderId="6" xfId="0" applyNumberFormat="1" applyFont="1" applyFill="1" applyBorder="1" applyAlignment="1" applyProtection="1">
      <alignment horizontal="center" vertical="center" wrapText="1"/>
    </xf>
    <xf numFmtId="164" fontId="7" fillId="3" borderId="7" xfId="0" applyNumberFormat="1" applyFont="1" applyFill="1" applyBorder="1" applyAlignment="1" applyProtection="1">
      <alignment horizontal="center" vertical="center" wrapText="1"/>
    </xf>
    <xf numFmtId="164" fontId="7" fillId="3" borderId="8" xfId="0" applyNumberFormat="1" applyFont="1" applyFill="1" applyBorder="1" applyAlignment="1" applyProtection="1">
      <alignment horizontal="center" vertical="center" wrapText="1"/>
    </xf>
    <xf numFmtId="164" fontId="7" fillId="3" borderId="9" xfId="0" applyNumberFormat="1" applyFont="1" applyFill="1" applyBorder="1" applyAlignment="1" applyProtection="1">
      <alignment horizontal="center" vertical="center" wrapText="1"/>
    </xf>
    <xf numFmtId="165" fontId="28" fillId="3" borderId="4" xfId="0" applyNumberFormat="1" applyFont="1" applyFill="1" applyBorder="1" applyAlignment="1" applyProtection="1">
      <alignment horizontal="center" vertical="center" wrapText="1"/>
    </xf>
    <xf numFmtId="165" fontId="28" fillId="3" borderId="5" xfId="0" applyNumberFormat="1" applyFont="1" applyFill="1" applyBorder="1" applyAlignment="1" applyProtection="1">
      <alignment horizontal="center" vertical="center" wrapText="1"/>
    </xf>
    <xf numFmtId="165" fontId="28" fillId="3" borderId="6" xfId="0" applyNumberFormat="1" applyFont="1" applyFill="1" applyBorder="1" applyAlignment="1" applyProtection="1">
      <alignment horizontal="center" vertical="center" wrapText="1"/>
    </xf>
    <xf numFmtId="165" fontId="28" fillId="3" borderId="7" xfId="0" applyNumberFormat="1" applyFont="1" applyFill="1" applyBorder="1" applyAlignment="1" applyProtection="1">
      <alignment horizontal="center" vertical="center" wrapText="1"/>
    </xf>
    <xf numFmtId="165" fontId="28" fillId="3" borderId="8" xfId="0" applyNumberFormat="1" applyFont="1" applyFill="1" applyBorder="1" applyAlignment="1" applyProtection="1">
      <alignment horizontal="center" vertical="center" wrapText="1"/>
    </xf>
    <xf numFmtId="165" fontId="28" fillId="3" borderId="9" xfId="0" applyNumberFormat="1" applyFont="1" applyFill="1" applyBorder="1" applyAlignment="1" applyProtection="1">
      <alignment horizontal="center" vertical="center" wrapText="1"/>
    </xf>
    <xf numFmtId="0" fontId="13" fillId="9" borderId="0" xfId="0" applyFont="1" applyFill="1" applyAlignment="1" applyProtection="1">
      <alignment horizontal="center" vertical="center" wrapText="1"/>
    </xf>
    <xf numFmtId="0" fontId="6" fillId="7" borderId="18" xfId="0" applyFont="1" applyFill="1" applyBorder="1" applyAlignment="1" applyProtection="1">
      <alignment horizontal="center" vertical="center"/>
    </xf>
    <xf numFmtId="0" fontId="6" fillId="7" borderId="19" xfId="0" applyFont="1" applyFill="1" applyBorder="1" applyAlignment="1" applyProtection="1">
      <alignment horizontal="center" vertical="center"/>
    </xf>
    <xf numFmtId="0" fontId="6" fillId="7" borderId="12" xfId="0" applyFont="1" applyFill="1" applyBorder="1" applyAlignment="1" applyProtection="1">
      <alignment horizontal="center" vertical="center"/>
    </xf>
    <xf numFmtId="0" fontId="16" fillId="7" borderId="1" xfId="0" applyFont="1" applyFill="1" applyBorder="1" applyAlignment="1" applyProtection="1">
      <alignment horizontal="center" vertical="center"/>
    </xf>
    <xf numFmtId="2" fontId="14" fillId="9" borderId="32" xfId="0" applyNumberFormat="1" applyFont="1" applyFill="1" applyBorder="1" applyAlignment="1" applyProtection="1">
      <alignment horizontal="center" vertical="center" textRotation="90"/>
    </xf>
    <xf numFmtId="2" fontId="14" fillId="9" borderId="10" xfId="0" applyNumberFormat="1" applyFont="1" applyFill="1" applyBorder="1" applyAlignment="1" applyProtection="1">
      <alignment horizontal="center" vertical="center" textRotation="90"/>
    </xf>
    <xf numFmtId="0" fontId="14" fillId="9" borderId="11" xfId="0" applyFont="1" applyFill="1" applyBorder="1" applyAlignment="1" applyProtection="1">
      <alignment horizontal="center" vertical="center"/>
    </xf>
    <xf numFmtId="2" fontId="14" fillId="9" borderId="34" xfId="0" applyNumberFormat="1" applyFont="1" applyFill="1" applyBorder="1" applyAlignment="1" applyProtection="1">
      <alignment horizontal="center" vertical="center" textRotation="90"/>
    </xf>
    <xf numFmtId="2" fontId="14" fillId="9" borderId="0" xfId="0" applyNumberFormat="1" applyFont="1" applyFill="1" applyBorder="1" applyAlignment="1" applyProtection="1">
      <alignment horizontal="center" vertical="center" textRotation="90" wrapText="1"/>
    </xf>
    <xf numFmtId="2" fontId="14" fillId="9" borderId="34" xfId="0" applyNumberFormat="1" applyFont="1" applyFill="1" applyBorder="1" applyAlignment="1" applyProtection="1">
      <alignment horizontal="center" vertical="center" textRotation="90" wrapText="1"/>
    </xf>
    <xf numFmtId="2" fontId="14" fillId="9" borderId="33" xfId="0" applyNumberFormat="1" applyFont="1" applyFill="1" applyBorder="1" applyAlignment="1" applyProtection="1">
      <alignment horizontal="center" vertical="center" textRotation="90" wrapText="1"/>
    </xf>
    <xf numFmtId="2" fontId="14" fillId="9" borderId="35" xfId="0" applyNumberFormat="1" applyFont="1" applyFill="1" applyBorder="1" applyAlignment="1" applyProtection="1">
      <alignment horizontal="center" vertical="center" textRotation="90" wrapText="1"/>
    </xf>
    <xf numFmtId="2" fontId="14" fillId="9" borderId="30" xfId="0" applyNumberFormat="1" applyFont="1" applyFill="1" applyBorder="1" applyAlignment="1" applyProtection="1">
      <alignment horizontal="center" vertical="center" textRotation="90"/>
    </xf>
    <xf numFmtId="0" fontId="2" fillId="7" borderId="1" xfId="0" applyFont="1" applyFill="1" applyBorder="1" applyAlignment="1">
      <alignment horizontal="left"/>
    </xf>
    <xf numFmtId="0" fontId="2" fillId="7" borderId="18" xfId="0" applyFont="1" applyFill="1" applyBorder="1" applyAlignment="1">
      <alignment horizontal="center" vertical="center"/>
    </xf>
    <xf numFmtId="0" fontId="2" fillId="7" borderId="19" xfId="0" applyFont="1" applyFill="1" applyBorder="1" applyAlignment="1">
      <alignment horizontal="center" vertical="center"/>
    </xf>
    <xf numFmtId="0" fontId="2" fillId="7" borderId="12" xfId="0" applyFont="1" applyFill="1" applyBorder="1" applyAlignment="1">
      <alignment horizontal="center" vertical="center"/>
    </xf>
    <xf numFmtId="0" fontId="0" fillId="9" borderId="0" xfId="0" applyFill="1" applyBorder="1" applyAlignment="1">
      <alignment horizontal="center"/>
    </xf>
    <xf numFmtId="0" fontId="2" fillId="7" borderId="18" xfId="0" applyFont="1" applyFill="1" applyBorder="1" applyAlignment="1">
      <alignment horizontal="center"/>
    </xf>
    <xf numFmtId="0" fontId="2" fillId="7" borderId="12" xfId="0" applyFont="1" applyFill="1" applyBorder="1" applyAlignment="1">
      <alignment horizontal="center"/>
    </xf>
    <xf numFmtId="0" fontId="0" fillId="9" borderId="0" xfId="0" applyFill="1" applyBorder="1" applyAlignment="1">
      <alignment horizontal="center" vertical="center" wrapText="1"/>
    </xf>
    <xf numFmtId="0" fontId="11" fillId="8" borderId="18" xfId="0" applyFont="1" applyFill="1" applyBorder="1" applyAlignment="1">
      <alignment horizontal="center" vertical="center"/>
    </xf>
    <xf numFmtId="0" fontId="11" fillId="8" borderId="12" xfId="0" applyFont="1" applyFill="1" applyBorder="1" applyAlignment="1">
      <alignment horizontal="center" vertical="center"/>
    </xf>
    <xf numFmtId="0" fontId="2" fillId="7" borderId="36" xfId="0" applyFont="1" applyFill="1" applyBorder="1" applyAlignment="1" applyProtection="1">
      <alignment horizontal="center" vertical="center" wrapText="1"/>
    </xf>
    <xf numFmtId="0" fontId="42" fillId="11" borderId="4" xfId="0" applyFont="1" applyFill="1" applyBorder="1" applyAlignment="1" applyProtection="1">
      <alignment horizontal="center" vertical="center" wrapText="1"/>
    </xf>
    <xf numFmtId="0" fontId="42" fillId="11" borderId="54" xfId="0" applyFont="1" applyFill="1" applyBorder="1" applyAlignment="1" applyProtection="1">
      <alignment horizontal="center" vertical="center" wrapText="1"/>
    </xf>
    <xf numFmtId="0" fontId="42" fillId="11" borderId="5" xfId="0" applyFont="1" applyFill="1" applyBorder="1" applyAlignment="1" applyProtection="1">
      <alignment horizontal="center" vertical="center" wrapText="1"/>
    </xf>
    <xf numFmtId="0" fontId="42" fillId="11" borderId="6" xfId="0" applyFont="1" applyFill="1" applyBorder="1" applyAlignment="1" applyProtection="1">
      <alignment horizontal="center" vertical="center" wrapText="1"/>
    </xf>
    <xf numFmtId="0" fontId="42" fillId="11" borderId="0" xfId="0" applyFont="1" applyFill="1" applyBorder="1" applyAlignment="1" applyProtection="1">
      <alignment horizontal="center" vertical="center" wrapText="1"/>
    </xf>
    <xf numFmtId="0" fontId="42" fillId="11" borderId="7" xfId="0" applyFont="1" applyFill="1" applyBorder="1" applyAlignment="1" applyProtection="1">
      <alignment horizontal="center" vertical="center" wrapText="1"/>
    </xf>
    <xf numFmtId="0" fontId="42" fillId="11" borderId="8" xfId="0" applyFont="1" applyFill="1" applyBorder="1" applyAlignment="1" applyProtection="1">
      <alignment horizontal="center" vertical="center" wrapText="1"/>
    </xf>
    <xf numFmtId="0" fontId="42" fillId="11" borderId="55" xfId="0" applyFont="1" applyFill="1" applyBorder="1" applyAlignment="1" applyProtection="1">
      <alignment horizontal="center" vertical="center" wrapText="1"/>
    </xf>
    <xf numFmtId="0" fontId="42" fillId="11" borderId="9" xfId="0" applyFont="1" applyFill="1" applyBorder="1" applyAlignment="1" applyProtection="1">
      <alignment horizontal="center" vertical="center" wrapText="1"/>
    </xf>
    <xf numFmtId="0" fontId="41" fillId="12" borderId="56" xfId="0" applyFont="1" applyFill="1" applyBorder="1" applyAlignment="1" applyProtection="1">
      <alignment horizontal="center" wrapText="1"/>
    </xf>
    <xf numFmtId="0" fontId="41" fillId="12" borderId="38" xfId="0" applyFont="1" applyFill="1" applyBorder="1" applyAlignment="1" applyProtection="1">
      <alignment horizontal="center" wrapText="1"/>
    </xf>
    <xf numFmtId="0" fontId="41" fillId="12" borderId="57" xfId="0" applyFont="1" applyFill="1" applyBorder="1" applyAlignment="1" applyProtection="1">
      <alignment horizontal="center" wrapText="1"/>
    </xf>
    <xf numFmtId="0" fontId="41" fillId="12" borderId="58" xfId="0" applyFont="1" applyFill="1" applyBorder="1" applyAlignment="1" applyProtection="1">
      <alignment horizontal="center" wrapText="1"/>
    </xf>
    <xf numFmtId="0" fontId="41" fillId="12" borderId="59" xfId="0" applyFont="1" applyFill="1" applyBorder="1" applyAlignment="1" applyProtection="1">
      <alignment horizontal="center" wrapText="1"/>
    </xf>
    <xf numFmtId="0" fontId="41" fillId="12" borderId="60" xfId="0" applyFont="1" applyFill="1" applyBorder="1" applyAlignment="1" applyProtection="1">
      <alignment horizontal="center" wrapText="1"/>
    </xf>
    <xf numFmtId="0" fontId="2" fillId="9" borderId="1" xfId="0" applyFont="1" applyFill="1" applyBorder="1" applyAlignment="1" applyProtection="1">
      <alignment horizontal="center"/>
    </xf>
    <xf numFmtId="0" fontId="2" fillId="9" borderId="2" xfId="0" applyFont="1" applyFill="1" applyBorder="1" applyAlignment="1" applyProtection="1">
      <alignment horizontal="center" vertical="center" wrapText="1"/>
    </xf>
    <xf numFmtId="0" fontId="2" fillId="9" borderId="3" xfId="0" applyFont="1" applyFill="1" applyBorder="1" applyAlignment="1" applyProtection="1">
      <alignment horizontal="center" vertical="center" wrapText="1"/>
    </xf>
    <xf numFmtId="0" fontId="2" fillId="9" borderId="10" xfId="0" applyFont="1" applyFill="1" applyBorder="1" applyAlignment="1" applyProtection="1">
      <alignment horizontal="center" vertical="center" wrapText="1"/>
    </xf>
    <xf numFmtId="0" fontId="2" fillId="9" borderId="30" xfId="0" applyFont="1" applyFill="1" applyBorder="1" applyAlignment="1" applyProtection="1">
      <alignment horizontal="center" vertical="center" wrapText="1"/>
    </xf>
    <xf numFmtId="0" fontId="2" fillId="7" borderId="1" xfId="0" applyFont="1" applyFill="1" applyBorder="1" applyAlignment="1" applyProtection="1">
      <alignment horizontal="center"/>
    </xf>
    <xf numFmtId="0" fontId="0" fillId="9" borderId="2" xfId="0" applyFill="1" applyBorder="1" applyAlignment="1">
      <alignment horizontal="center" vertical="center"/>
    </xf>
    <xf numFmtId="0" fontId="0" fillId="9" borderId="36" xfId="0" applyFill="1" applyBorder="1" applyAlignment="1">
      <alignment horizontal="center" vertical="center"/>
    </xf>
    <xf numFmtId="0" fontId="0" fillId="9" borderId="3" xfId="0" applyFill="1" applyBorder="1" applyAlignment="1">
      <alignment horizontal="center" vertical="center"/>
    </xf>
    <xf numFmtId="166" fontId="0" fillId="9" borderId="2" xfId="0" applyNumberFormat="1" applyFill="1" applyBorder="1" applyAlignment="1">
      <alignment horizontal="center" vertical="center"/>
    </xf>
    <xf numFmtId="166" fontId="0" fillId="9" borderId="36" xfId="0" applyNumberFormat="1" applyFill="1" applyBorder="1" applyAlignment="1">
      <alignment horizontal="center" vertical="center"/>
    </xf>
    <xf numFmtId="166" fontId="0" fillId="9" borderId="3" xfId="0" applyNumberFormat="1" applyFill="1" applyBorder="1" applyAlignment="1">
      <alignment horizontal="center" vertical="center"/>
    </xf>
    <xf numFmtId="2" fontId="0" fillId="9" borderId="1" xfId="0" applyNumberFormat="1" applyFill="1" applyBorder="1" applyAlignment="1">
      <alignment horizontal="center" vertical="center"/>
    </xf>
    <xf numFmtId="0" fontId="2" fillId="9" borderId="2" xfId="0" applyFont="1" applyFill="1" applyBorder="1" applyAlignment="1">
      <alignment horizontal="center" vertical="center" wrapText="1"/>
    </xf>
    <xf numFmtId="0" fontId="2" fillId="9" borderId="36" xfId="0" applyFont="1" applyFill="1" applyBorder="1" applyAlignment="1">
      <alignment horizontal="center" vertical="center" wrapText="1"/>
    </xf>
    <xf numFmtId="0" fontId="2" fillId="9" borderId="3" xfId="0" applyFont="1" applyFill="1" applyBorder="1" applyAlignment="1">
      <alignment horizontal="center" vertical="center" wrapText="1"/>
    </xf>
    <xf numFmtId="166" fontId="2" fillId="9" borderId="2" xfId="0" applyNumberFormat="1" applyFont="1" applyFill="1" applyBorder="1" applyAlignment="1">
      <alignment horizontal="center" vertical="center"/>
    </xf>
    <xf numFmtId="166" fontId="2" fillId="9" borderId="36" xfId="0" applyNumberFormat="1" applyFont="1" applyFill="1" applyBorder="1" applyAlignment="1">
      <alignment horizontal="center" vertical="center"/>
    </xf>
    <xf numFmtId="166" fontId="2" fillId="9" borderId="3" xfId="0" applyNumberFormat="1" applyFont="1" applyFill="1" applyBorder="1" applyAlignment="1">
      <alignment horizontal="center" vertical="center"/>
    </xf>
    <xf numFmtId="2" fontId="0" fillId="9" borderId="2" xfId="0" applyNumberFormat="1" applyFill="1" applyBorder="1" applyAlignment="1">
      <alignment horizontal="center" vertical="center"/>
    </xf>
    <xf numFmtId="2" fontId="0" fillId="9" borderId="36" xfId="0" applyNumberFormat="1" applyFill="1" applyBorder="1" applyAlignment="1">
      <alignment horizontal="center" vertical="center"/>
    </xf>
    <xf numFmtId="2" fontId="0" fillId="9" borderId="3" xfId="0" applyNumberFormat="1" applyFill="1" applyBorder="1" applyAlignment="1">
      <alignment horizontal="center" vertical="center"/>
    </xf>
    <xf numFmtId="0" fontId="29" fillId="9" borderId="12" xfId="0" applyFont="1" applyFill="1" applyBorder="1" applyAlignment="1">
      <alignment horizontal="center" vertical="center" wrapText="1"/>
    </xf>
    <xf numFmtId="0" fontId="29" fillId="9" borderId="1" xfId="0" applyFont="1" applyFill="1" applyBorder="1" applyAlignment="1">
      <alignment horizontal="center" vertical="center" wrapText="1"/>
    </xf>
    <xf numFmtId="0" fontId="1" fillId="9" borderId="1" xfId="0" applyFont="1" applyFill="1" applyBorder="1" applyAlignment="1">
      <alignment horizontal="center" vertical="center" wrapText="1"/>
    </xf>
    <xf numFmtId="0" fontId="1" fillId="9" borderId="0" xfId="0" applyFont="1" applyFill="1" applyBorder="1" applyAlignment="1" applyProtection="1">
      <alignment horizontal="center"/>
      <protection locked="0"/>
    </xf>
    <xf numFmtId="0" fontId="1" fillId="9" borderId="33" xfId="0" applyFont="1" applyFill="1" applyBorder="1" applyAlignment="1" applyProtection="1">
      <alignment horizontal="center"/>
      <protection locked="0"/>
    </xf>
    <xf numFmtId="0" fontId="1" fillId="9" borderId="38" xfId="0" applyFont="1" applyFill="1" applyBorder="1" applyAlignment="1">
      <alignment horizontal="center"/>
    </xf>
    <xf numFmtId="0" fontId="1" fillId="9" borderId="0" xfId="0" applyFont="1" applyFill="1" applyBorder="1" applyAlignment="1">
      <alignment horizontal="center"/>
    </xf>
    <xf numFmtId="0" fontId="1" fillId="9" borderId="10" xfId="0" applyFont="1" applyFill="1" applyBorder="1" applyAlignment="1">
      <alignment horizontal="center"/>
    </xf>
    <xf numFmtId="0" fontId="1" fillId="9" borderId="11" xfId="0" applyFont="1" applyFill="1" applyBorder="1" applyAlignment="1">
      <alignment horizontal="center"/>
    </xf>
    <xf numFmtId="0" fontId="1" fillId="9" borderId="31" xfId="0" applyFont="1" applyFill="1" applyBorder="1" applyAlignment="1">
      <alignment horizontal="center"/>
    </xf>
    <xf numFmtId="0" fontId="1" fillId="9" borderId="32" xfId="0" applyFont="1" applyFill="1" applyBorder="1" applyAlignment="1">
      <alignment horizontal="center"/>
    </xf>
    <xf numFmtId="0" fontId="1" fillId="9" borderId="33" xfId="0" applyFont="1" applyFill="1" applyBorder="1" applyAlignment="1">
      <alignment horizontal="center"/>
    </xf>
    <xf numFmtId="0" fontId="1" fillId="9" borderId="30" xfId="0" applyFont="1" applyFill="1" applyBorder="1" applyAlignment="1">
      <alignment horizontal="center"/>
    </xf>
    <xf numFmtId="0" fontId="1" fillId="9" borderId="34" xfId="0" applyFont="1" applyFill="1" applyBorder="1" applyAlignment="1">
      <alignment horizontal="center"/>
    </xf>
    <xf numFmtId="0" fontId="1" fillId="9" borderId="35" xfId="0" applyFont="1" applyFill="1" applyBorder="1" applyAlignment="1">
      <alignment horizontal="center"/>
    </xf>
    <xf numFmtId="0" fontId="31" fillId="9" borderId="0" xfId="0" applyFont="1" applyFill="1" applyBorder="1" applyAlignment="1">
      <alignment horizontal="center" vertical="justify" wrapText="1"/>
    </xf>
    <xf numFmtId="0" fontId="37" fillId="9" borderId="0" xfId="0" applyFont="1" applyFill="1" applyBorder="1" applyAlignment="1">
      <alignment horizontal="left"/>
    </xf>
    <xf numFmtId="167" fontId="37" fillId="9" borderId="0" xfId="0" applyNumberFormat="1" applyFont="1" applyFill="1" applyBorder="1" applyAlignment="1">
      <alignment horizontal="left"/>
    </xf>
    <xf numFmtId="0" fontId="1" fillId="9" borderId="0" xfId="0" applyFont="1" applyFill="1" applyBorder="1" applyAlignment="1">
      <alignment horizontal="left"/>
    </xf>
    <xf numFmtId="0" fontId="34" fillId="9" borderId="2" xfId="0" applyFont="1" applyFill="1" applyBorder="1" applyAlignment="1">
      <alignment horizontal="center" vertical="center" textRotation="45" wrapText="1"/>
    </xf>
    <xf numFmtId="0" fontId="34" fillId="9" borderId="36" xfId="0" applyFont="1" applyFill="1" applyBorder="1" applyAlignment="1">
      <alignment horizontal="center" vertical="center" textRotation="45" wrapText="1"/>
    </xf>
    <xf numFmtId="0" fontId="34" fillId="9" borderId="3" xfId="0" applyFont="1" applyFill="1" applyBorder="1" applyAlignment="1">
      <alignment horizontal="center" vertical="center" textRotation="45" wrapText="1"/>
    </xf>
    <xf numFmtId="2" fontId="1" fillId="9" borderId="42" xfId="0" applyNumberFormat="1" applyFont="1" applyFill="1" applyBorder="1" applyAlignment="1">
      <alignment horizontal="center" vertical="center" wrapText="1"/>
    </xf>
    <xf numFmtId="2" fontId="1" fillId="9" borderId="43" xfId="0" applyNumberFormat="1" applyFont="1" applyFill="1" applyBorder="1" applyAlignment="1">
      <alignment horizontal="center" vertical="center" wrapText="1"/>
    </xf>
    <xf numFmtId="2" fontId="1" fillId="9" borderId="44" xfId="0" applyNumberFormat="1" applyFont="1" applyFill="1" applyBorder="1" applyAlignment="1">
      <alignment horizontal="center" vertical="center" wrapText="1"/>
    </xf>
    <xf numFmtId="0" fontId="1" fillId="9" borderId="0" xfId="0" applyFont="1" applyFill="1" applyBorder="1" applyAlignment="1">
      <alignment horizontal="center" vertical="center" wrapText="1"/>
    </xf>
    <xf numFmtId="0" fontId="1" fillId="9" borderId="42" xfId="0" applyFont="1" applyFill="1" applyBorder="1" applyAlignment="1">
      <alignment horizontal="center" vertical="center" wrapText="1"/>
    </xf>
    <xf numFmtId="0" fontId="1" fillId="9" borderId="43" xfId="0" applyFont="1" applyFill="1" applyBorder="1" applyAlignment="1">
      <alignment horizontal="center" vertical="center" wrapText="1"/>
    </xf>
    <xf numFmtId="0" fontId="1" fillId="9" borderId="44" xfId="0" applyFont="1" applyFill="1" applyBorder="1" applyAlignment="1">
      <alignment horizontal="center" vertical="center" wrapText="1"/>
    </xf>
    <xf numFmtId="0" fontId="1" fillId="9" borderId="11" xfId="0" applyFont="1" applyFill="1" applyBorder="1" applyAlignment="1" applyProtection="1">
      <alignment horizontal="center" vertical="center" wrapText="1"/>
      <protection locked="0"/>
    </xf>
    <xf numFmtId="0" fontId="1" fillId="9" borderId="31" xfId="0" applyFont="1" applyFill="1" applyBorder="1" applyAlignment="1" applyProtection="1">
      <alignment horizontal="center" vertical="center" wrapText="1"/>
      <protection locked="0"/>
    </xf>
    <xf numFmtId="0" fontId="1" fillId="9" borderId="34" xfId="0" applyFont="1" applyFill="1" applyBorder="1" applyAlignment="1" applyProtection="1">
      <alignment horizontal="center" vertical="center" wrapText="1"/>
      <protection locked="0"/>
    </xf>
    <xf numFmtId="0" fontId="1" fillId="9" borderId="35" xfId="0" applyFont="1" applyFill="1" applyBorder="1" applyAlignment="1" applyProtection="1">
      <alignment horizontal="center" vertical="center" wrapText="1"/>
      <protection locked="0"/>
    </xf>
    <xf numFmtId="0" fontId="39" fillId="9" borderId="46" xfId="0" applyFont="1" applyFill="1" applyBorder="1" applyAlignment="1">
      <alignment horizontal="center" vertical="center" wrapText="1"/>
    </xf>
    <xf numFmtId="0" fontId="26" fillId="2" borderId="1" xfId="0" applyFont="1" applyFill="1" applyBorder="1" applyAlignment="1" applyProtection="1">
      <alignment horizontal="center" vertical="center" wrapText="1"/>
      <protection locked="0"/>
    </xf>
    <xf numFmtId="0" fontId="5" fillId="9" borderId="11" xfId="0" applyFont="1" applyFill="1" applyBorder="1" applyAlignment="1" applyProtection="1">
      <alignment horizontal="center" vertical="center"/>
    </xf>
    <xf numFmtId="0" fontId="5" fillId="9" borderId="0" xfId="0" applyFont="1" applyFill="1" applyBorder="1" applyAlignment="1" applyProtection="1">
      <alignment horizontal="center" vertical="center"/>
    </xf>
    <xf numFmtId="0" fontId="26" fillId="2" borderId="1" xfId="0" applyFont="1" applyFill="1" applyBorder="1" applyAlignment="1" applyProtection="1">
      <alignment horizontal="center" vertical="center"/>
      <protection locked="0"/>
    </xf>
    <xf numFmtId="20" fontId="26" fillId="2" borderId="1" xfId="0" applyNumberFormat="1" applyFont="1" applyFill="1" applyBorder="1" applyAlignment="1" applyProtection="1">
      <alignment horizontal="center" vertical="center"/>
      <protection locked="0"/>
    </xf>
    <xf numFmtId="14" fontId="26" fillId="2" borderId="1" xfId="0" applyNumberFormat="1" applyFont="1" applyFill="1" applyBorder="1" applyAlignment="1" applyProtection="1">
      <alignment horizontal="center" vertical="center"/>
      <protection locked="0"/>
    </xf>
  </cellXfs>
  <cellStyles count="7">
    <cellStyle name="Hipervínculo" xfId="1" builtinId="8" hidden="1"/>
    <cellStyle name="Hipervínculo" xfId="4" builtinId="8" hidden="1"/>
    <cellStyle name="Hipervínculo" xfId="6" builtinId="8" hidden="1"/>
    <cellStyle name="Hipervínculo visitado" xfId="2" builtinId="9" hidden="1"/>
    <cellStyle name="Hipervínculo visitado" xfId="3" builtinId="9" hidden="1"/>
    <cellStyle name="Hipervínculo visitado" xfId="5" builtinId="9" hidden="1"/>
    <cellStyle name="Normal" xfId="0" builtinId="0"/>
  </cellStyles>
  <dxfs count="90">
    <dxf>
      <font>
        <color theme="9"/>
      </font>
      <fill>
        <patternFill>
          <bgColor theme="9"/>
        </patternFill>
      </fill>
    </dxf>
    <dxf>
      <font>
        <color rgb="FF9C0006"/>
      </font>
    </dxf>
    <dxf>
      <fill>
        <patternFill>
          <bgColor theme="1"/>
        </patternFill>
      </fill>
    </dxf>
    <dxf>
      <font>
        <color rgb="FF9C0006"/>
      </font>
    </dxf>
    <dxf>
      <fill>
        <patternFill>
          <bgColor theme="1"/>
        </patternFill>
      </fill>
    </dxf>
    <dxf>
      <font>
        <color rgb="FF9C0006"/>
      </font>
    </dxf>
    <dxf>
      <fill>
        <patternFill>
          <bgColor theme="1"/>
        </patternFill>
      </fill>
    </dxf>
    <dxf>
      <font>
        <color rgb="FF9C0006"/>
      </font>
    </dxf>
    <dxf>
      <fill>
        <patternFill>
          <bgColor theme="1"/>
        </patternFill>
      </fill>
    </dxf>
    <dxf>
      <font>
        <color rgb="FF9C0006"/>
      </font>
    </dxf>
    <dxf>
      <fill>
        <patternFill>
          <bgColor theme="1"/>
        </patternFill>
      </fill>
    </dxf>
    <dxf>
      <font>
        <color rgb="FF9C0006"/>
      </font>
    </dxf>
    <dxf>
      <fill>
        <patternFill>
          <bgColor theme="1"/>
        </patternFill>
      </fill>
    </dxf>
    <dxf>
      <font>
        <color rgb="FF9C0006"/>
      </font>
    </dxf>
    <dxf>
      <fill>
        <patternFill>
          <bgColor theme="1"/>
        </patternFill>
      </fill>
    </dxf>
    <dxf>
      <font>
        <color theme="0"/>
      </font>
    </dxf>
    <dxf>
      <font>
        <color theme="0"/>
      </font>
    </dxf>
    <dxf>
      <font>
        <color theme="0"/>
      </font>
    </dxf>
    <dxf>
      <font>
        <color theme="0"/>
      </font>
      <fill>
        <patternFill>
          <bgColor theme="0"/>
        </patternFill>
      </fill>
    </dxf>
    <dxf>
      <font>
        <color theme="0"/>
      </font>
      <fill>
        <patternFill>
          <bgColor theme="0"/>
        </patternFill>
      </fill>
    </dxf>
    <dxf>
      <font>
        <color rgb="FF9C0006"/>
      </font>
    </dxf>
    <dxf>
      <fill>
        <patternFill>
          <bgColor theme="1"/>
        </patternFill>
      </fill>
    </dxf>
    <dxf>
      <font>
        <color rgb="FF9C0006"/>
      </font>
    </dxf>
    <dxf>
      <fill>
        <patternFill>
          <bgColor theme="1"/>
        </patternFill>
      </fill>
    </dxf>
    <dxf>
      <font>
        <color rgb="FF9C0006"/>
      </font>
      <fill>
        <patternFill>
          <bgColor rgb="FFFFC7CE"/>
        </patternFill>
      </fill>
    </dxf>
    <dxf>
      <font>
        <color rgb="FF9C0006"/>
      </font>
      <fill>
        <patternFill>
          <bgColor rgb="FFFFC7CE"/>
        </patternFill>
      </fill>
    </dxf>
    <dxf>
      <font>
        <color theme="9"/>
      </font>
      <fill>
        <patternFill>
          <bgColor theme="9"/>
        </patternFill>
      </fill>
    </dxf>
    <dxf>
      <font>
        <color theme="9"/>
      </font>
      <fill>
        <patternFill>
          <bgColor theme="9"/>
        </patternFill>
      </fill>
    </dxf>
    <dxf>
      <font>
        <color theme="1"/>
      </font>
    </dxf>
    <dxf>
      <font>
        <color theme="4" tint="0.79998168889431442"/>
      </font>
      <fill>
        <patternFill patternType="solid">
          <bgColor theme="3" tint="0.79998168889431442"/>
        </patternFill>
      </fill>
    </dxf>
    <dxf>
      <font>
        <color theme="4"/>
      </font>
      <fill>
        <patternFill>
          <bgColor rgb="FF0070C0"/>
        </patternFill>
      </fill>
    </dxf>
    <dxf>
      <font>
        <color theme="9"/>
      </font>
      <fill>
        <patternFill>
          <bgColor theme="9"/>
        </patternFill>
      </fill>
    </dxf>
    <dxf>
      <font>
        <color rgb="FF9C0006"/>
      </font>
    </dxf>
    <dxf>
      <fill>
        <patternFill>
          <bgColor theme="1"/>
        </patternFill>
      </fill>
    </dxf>
    <dxf>
      <font>
        <color rgb="FF9C0006"/>
      </font>
      <fill>
        <patternFill>
          <bgColor rgb="FFFFC7CE"/>
        </patternFill>
      </fill>
    </dxf>
    <dxf>
      <font>
        <color rgb="FF9C0006"/>
      </font>
    </dxf>
    <dxf>
      <fill>
        <patternFill>
          <bgColor theme="1"/>
        </patternFill>
      </fill>
    </dxf>
    <dxf>
      <font>
        <color rgb="FF9C0006"/>
      </font>
    </dxf>
    <dxf>
      <fill>
        <patternFill>
          <bgColor theme="1"/>
        </patternFill>
      </fill>
    </dxf>
    <dxf>
      <font>
        <color rgb="FF9C0006"/>
      </font>
    </dxf>
    <dxf>
      <fill>
        <patternFill>
          <bgColor theme="1"/>
        </patternFill>
      </fill>
    </dxf>
    <dxf>
      <font>
        <color rgb="FF006100"/>
      </font>
      <fill>
        <patternFill>
          <bgColor rgb="FFC6EFCE"/>
        </patternFill>
      </fill>
    </dxf>
    <dxf>
      <font>
        <color rgb="FF9C0006"/>
      </font>
    </dxf>
    <dxf>
      <fill>
        <patternFill>
          <bgColor theme="1"/>
        </patternFill>
      </fill>
    </dxf>
    <dxf>
      <font>
        <color theme="9"/>
      </font>
      <fill>
        <patternFill>
          <bgColor theme="9"/>
        </patternFill>
      </fill>
    </dxf>
    <dxf>
      <font>
        <color rgb="FF9C0006"/>
      </font>
    </dxf>
    <dxf>
      <fill>
        <patternFill>
          <bgColor theme="1"/>
        </patternFill>
      </fill>
    </dxf>
    <dxf>
      <font>
        <color theme="9"/>
      </font>
      <fill>
        <patternFill>
          <bgColor theme="9"/>
        </patternFill>
      </fill>
    </dxf>
    <dxf>
      <font>
        <color rgb="FF9C0006"/>
      </font>
    </dxf>
    <dxf>
      <fill>
        <patternFill>
          <bgColor theme="1"/>
        </patternFill>
      </fill>
    </dxf>
    <dxf>
      <font>
        <color rgb="FF9C0006"/>
      </font>
    </dxf>
    <dxf>
      <fill>
        <patternFill>
          <bgColor theme="1"/>
        </patternFill>
      </fill>
    </dxf>
    <dxf>
      <font>
        <color theme="9"/>
      </font>
      <fill>
        <patternFill>
          <bgColor theme="9"/>
        </patternFill>
      </fill>
    </dxf>
    <dxf>
      <font>
        <color rgb="FF9C0006"/>
      </font>
    </dxf>
    <dxf>
      <fill>
        <patternFill>
          <bgColor theme="1"/>
        </patternFill>
      </fill>
    </dxf>
    <dxf>
      <font>
        <color rgb="FF9C0006"/>
      </font>
    </dxf>
    <dxf>
      <fill>
        <patternFill>
          <bgColor theme="1"/>
        </patternFill>
      </fill>
    </dxf>
    <dxf>
      <font>
        <color rgb="FF9C0006"/>
      </font>
    </dxf>
    <dxf>
      <fill>
        <patternFill>
          <bgColor theme="1"/>
        </patternFill>
      </fill>
    </dxf>
    <dxf>
      <font>
        <color rgb="FF9C0006"/>
      </font>
    </dxf>
    <dxf>
      <fill>
        <patternFill>
          <bgColor theme="1"/>
        </patternFill>
      </fill>
    </dxf>
    <dxf>
      <font>
        <color rgb="FF9C0006"/>
      </font>
    </dxf>
    <dxf>
      <fill>
        <patternFill>
          <bgColor theme="1"/>
        </patternFill>
      </fill>
    </dxf>
    <dxf>
      <font>
        <color rgb="FF9C0006"/>
      </font>
    </dxf>
    <dxf>
      <fill>
        <patternFill>
          <bgColor theme="1"/>
        </patternFill>
      </fill>
    </dxf>
    <dxf>
      <font>
        <color rgb="FF9C0006"/>
      </font>
    </dxf>
    <dxf>
      <fill>
        <patternFill>
          <bgColor theme="1"/>
        </patternFill>
      </fill>
    </dxf>
    <dxf>
      <font>
        <color theme="0"/>
      </font>
    </dxf>
    <dxf>
      <font>
        <color theme="0"/>
      </font>
    </dxf>
    <dxf>
      <font>
        <color theme="0"/>
      </font>
    </dxf>
    <dxf>
      <font>
        <color theme="0"/>
      </font>
      <fill>
        <patternFill>
          <bgColor theme="0"/>
        </patternFill>
      </fill>
    </dxf>
    <dxf>
      <font>
        <color theme="0"/>
      </font>
      <fill>
        <patternFill>
          <bgColor theme="0"/>
        </patternFill>
      </fill>
    </dxf>
    <dxf>
      <font>
        <color rgb="FF9C0006"/>
      </font>
      <fill>
        <patternFill>
          <bgColor rgb="FFFFC7CE"/>
        </patternFill>
      </fill>
    </dxf>
    <dxf>
      <font>
        <color rgb="FF9C0006"/>
      </font>
      <fill>
        <patternFill>
          <bgColor rgb="FFFFC7CE"/>
        </patternFill>
      </fill>
    </dxf>
    <dxf>
      <font>
        <color theme="9"/>
      </font>
      <fill>
        <patternFill>
          <bgColor theme="9"/>
        </patternFill>
      </fill>
    </dxf>
    <dxf>
      <font>
        <color theme="9"/>
      </font>
      <fill>
        <patternFill>
          <bgColor theme="9"/>
        </patternFill>
      </fill>
    </dxf>
    <dxf>
      <font>
        <color theme="1"/>
      </font>
    </dxf>
    <dxf>
      <font>
        <color theme="4" tint="0.79998168889431442"/>
      </font>
      <fill>
        <patternFill patternType="solid">
          <bgColor theme="3" tint="0.79998168889431442"/>
        </patternFill>
      </fill>
    </dxf>
    <dxf>
      <font>
        <color theme="4"/>
      </font>
      <fill>
        <patternFill>
          <bgColor rgb="FF0070C0"/>
        </patternFill>
      </fill>
    </dxf>
    <dxf>
      <font>
        <color theme="9"/>
      </font>
      <fill>
        <patternFill>
          <bgColor theme="9"/>
        </patternFill>
      </fill>
    </dxf>
    <dxf>
      <font>
        <color rgb="FF9C0006"/>
      </font>
    </dxf>
    <dxf>
      <fill>
        <patternFill>
          <bgColor theme="1"/>
        </patternFill>
      </fill>
    </dxf>
    <dxf>
      <font>
        <color rgb="FF9C0006"/>
      </font>
      <fill>
        <patternFill>
          <bgColor rgb="FFFFC7CE"/>
        </patternFill>
      </fill>
    </dxf>
    <dxf>
      <font>
        <color rgb="FF9C0006"/>
      </font>
    </dxf>
    <dxf>
      <fill>
        <patternFill>
          <bgColor theme="1"/>
        </patternFill>
      </fill>
    </dxf>
    <dxf>
      <font>
        <color rgb="FF9C0006"/>
      </font>
    </dxf>
    <dxf>
      <fill>
        <patternFill>
          <bgColor theme="1"/>
        </patternFill>
      </fill>
    </dxf>
    <dxf>
      <font>
        <color rgb="FF9C0006"/>
      </font>
    </dxf>
    <dxf>
      <fill>
        <patternFill>
          <bgColor theme="1"/>
        </patternFill>
      </fill>
    </dxf>
    <dxf>
      <font>
        <color rgb="FF006100"/>
      </font>
      <fill>
        <patternFill>
          <bgColor rgb="FFC6EFCE"/>
        </patternFill>
      </fill>
    </dxf>
  </dxfs>
  <tableStyles count="0" defaultTableStyle="TableStyleMedium2" defaultPivotStyle="PivotStyleLight16"/>
  <colors>
    <mruColors>
      <color rgb="FFCC6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hartsheet" Target="chartsheets/sheet2.xml"/><Relationship Id="rId3" Type="http://schemas.openxmlformats.org/officeDocument/2006/relationships/worksheet" Target="worksheets/sheet2.xml"/><Relationship Id="rId7" Type="http://schemas.openxmlformats.org/officeDocument/2006/relationships/worksheet" Target="worksheets/sheet6.xml"/><Relationship Id="rId12" Type="http://schemas.openxmlformats.org/officeDocument/2006/relationships/calcChain" Target="calcChain.xml"/><Relationship Id="rId2" Type="http://schemas.openxmlformats.org/officeDocument/2006/relationships/chartsheet" Target="chartsheets/sheet1.xml"/><Relationship Id="rId1" Type="http://schemas.openxmlformats.org/officeDocument/2006/relationships/worksheet" Target="worksheets/sheet1.xml"/><Relationship Id="rId6" Type="http://schemas.openxmlformats.org/officeDocument/2006/relationships/worksheet" Target="worksheets/sheet5.xml"/><Relationship Id="rId11" Type="http://schemas.openxmlformats.org/officeDocument/2006/relationships/sharedStrings" Target="sharedStrings.xml"/><Relationship Id="rId5" Type="http://schemas.openxmlformats.org/officeDocument/2006/relationships/worksheet" Target="worksheets/sheet4.xml"/><Relationship Id="rId10" Type="http://schemas.openxmlformats.org/officeDocument/2006/relationships/styles" Target="styles.xml"/><Relationship Id="rId4" Type="http://schemas.openxmlformats.org/officeDocument/2006/relationships/worksheet" Target="worksheets/sheet3.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1" Type="http://schemas.openxmlformats.org/officeDocument/2006/relationships/image" Target="../media/image7.jpg"/></Relationships>
</file>

<file path=xl/charts/_rels/chart3.xml.rels><?xml version="1.0" encoding="UTF-8" standalone="yes"?>
<Relationships xmlns="http://schemas.openxmlformats.org/package/2006/relationships"><Relationship Id="rId1" Type="http://schemas.openxmlformats.org/officeDocument/2006/relationships/image" Target="../media/image7.jpg"/></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19"/>
    </mc:Choice>
    <mc:Fallback>
      <c:style val="19"/>
    </mc:Fallback>
  </mc:AlternateContent>
  <c:protection>
    <c:chartObject val="0"/>
    <c:data val="0"/>
    <c:formatting val="0"/>
    <c:selection val="0"/>
    <c:userInterface val="0"/>
  </c:protection>
  <c:chart>
    <c:title>
      <c:tx>
        <c:rich>
          <a:bodyPr/>
          <a:lstStyle/>
          <a:p>
            <a:pPr>
              <a:defRPr sz="2400" b="1" cap="none" spc="0">
                <a:ln w="1905"/>
                <a:gradFill>
                  <a:gsLst>
                    <a:gs pos="0">
                      <a:schemeClr val="accent6">
                        <a:shade val="20000"/>
                        <a:satMod val="200000"/>
                      </a:schemeClr>
                    </a:gs>
                    <a:gs pos="78000">
                      <a:schemeClr val="accent6">
                        <a:tint val="90000"/>
                        <a:shade val="89000"/>
                        <a:satMod val="220000"/>
                      </a:schemeClr>
                    </a:gs>
                    <a:gs pos="100000">
                      <a:schemeClr val="accent6">
                        <a:tint val="12000"/>
                        <a:satMod val="255000"/>
                      </a:schemeClr>
                    </a:gs>
                  </a:gsLst>
                  <a:lin ang="5400000"/>
                </a:gradFill>
                <a:effectLst>
                  <a:innerShdw blurRad="69850" dist="43180" dir="5400000">
                    <a:srgbClr val="000000">
                      <a:alpha val="65000"/>
                    </a:srgbClr>
                  </a:innerShdw>
                </a:effectLst>
              </a:defRPr>
            </a:pPr>
            <a:r>
              <a:rPr lang="es-CL" sz="2400" b="1" cap="none" spc="0">
                <a:ln w="1905"/>
                <a:gradFill>
                  <a:gsLst>
                    <a:gs pos="0">
                      <a:schemeClr val="accent6">
                        <a:shade val="20000"/>
                        <a:satMod val="200000"/>
                      </a:schemeClr>
                    </a:gs>
                    <a:gs pos="78000">
                      <a:schemeClr val="accent6">
                        <a:tint val="90000"/>
                        <a:shade val="89000"/>
                        <a:satMod val="220000"/>
                      </a:schemeClr>
                    </a:gs>
                    <a:gs pos="100000">
                      <a:schemeClr val="accent6">
                        <a:tint val="12000"/>
                        <a:satMod val="255000"/>
                      </a:schemeClr>
                    </a:gs>
                  </a:gsLst>
                  <a:lin ang="5400000"/>
                </a:gradFill>
                <a:effectLst>
                  <a:innerShdw blurRad="69850" dist="43180" dir="5400000">
                    <a:srgbClr val="000000">
                      <a:alpha val="65000"/>
                    </a:srgbClr>
                  </a:innerShdw>
                </a:effectLst>
              </a:rPr>
              <a:t>Representación gráfica del perfil transversal del canal</a:t>
            </a:r>
          </a:p>
        </c:rich>
      </c:tx>
      <c:overlay val="0"/>
    </c:title>
    <c:autoTitleDeleted val="0"/>
    <c:view3D>
      <c:rotX val="0"/>
      <c:hPercent val="100"/>
      <c:rotY val="0"/>
      <c:depthPercent val="100"/>
      <c:rAngAx val="1"/>
    </c:view3D>
    <c:floor>
      <c:thickness val="0"/>
    </c:floor>
    <c:sideWall>
      <c:thickness val="0"/>
      <c:spPr>
        <a:noFill/>
        <a:ln w="25400">
          <a:noFill/>
        </a:ln>
      </c:spPr>
    </c:sideWall>
    <c:backWall>
      <c:thickness val="0"/>
      <c:spPr>
        <a:noFill/>
        <a:ln w="25400">
          <a:noFill/>
        </a:ln>
      </c:spPr>
    </c:backWall>
    <c:plotArea>
      <c:layout/>
      <c:surface3DChart>
        <c:wireframe val="0"/>
        <c:ser>
          <c:idx val="0"/>
          <c:order val="0"/>
          <c:tx>
            <c:v>Lámina de agua</c:v>
          </c:tx>
          <c:cat>
            <c:numRef>
              <c:f>'Cálculo Aforo'!L_Acumulado</c:f>
              <c:numCache>
                <c:formatCode>0.00</c:formatCode>
                <c:ptCount val="13"/>
                <c:pt idx="0">
                  <c:v>0</c:v>
                </c:pt>
                <c:pt idx="1">
                  <c:v>0.11</c:v>
                </c:pt>
                <c:pt idx="2">
                  <c:v>0.22</c:v>
                </c:pt>
                <c:pt idx="3">
                  <c:v>0.33</c:v>
                </c:pt>
                <c:pt idx="4">
                  <c:v>0.44000000000000006</c:v>
                </c:pt>
                <c:pt idx="5">
                  <c:v>0.55000000000000004</c:v>
                </c:pt>
                <c:pt idx="6">
                  <c:v>0.65500000000000003</c:v>
                </c:pt>
                <c:pt idx="7">
                  <c:v>0.76</c:v>
                </c:pt>
                <c:pt idx="8">
                  <c:v>0.87</c:v>
                </c:pt>
                <c:pt idx="9">
                  <c:v>0.98</c:v>
                </c:pt>
                <c:pt idx="10">
                  <c:v>1.0899999999999999</c:v>
                </c:pt>
                <c:pt idx="11">
                  <c:v>1.2</c:v>
                </c:pt>
                <c:pt idx="12">
                  <c:v>1.31</c:v>
                </c:pt>
              </c:numCache>
              <c:extLst xmlns:c15="http://schemas.microsoft.com/office/drawing/2012/chart"/>
            </c:numRef>
          </c:cat>
          <c:val>
            <c:numRef>
              <c:f>'Cálculo Aforo'!Lamina</c:f>
              <c:numCache>
                <c:formatCode>0.00</c:formatCode>
                <c:ptCount val="13"/>
                <c:pt idx="0">
                  <c:v>0.46</c:v>
                </c:pt>
                <c:pt idx="1">
                  <c:v>0.46</c:v>
                </c:pt>
                <c:pt idx="2">
                  <c:v>0.46</c:v>
                </c:pt>
                <c:pt idx="3">
                  <c:v>0.46</c:v>
                </c:pt>
                <c:pt idx="4">
                  <c:v>0.46</c:v>
                </c:pt>
                <c:pt idx="5">
                  <c:v>0.46</c:v>
                </c:pt>
                <c:pt idx="6">
                  <c:v>0.46</c:v>
                </c:pt>
                <c:pt idx="7">
                  <c:v>0.46</c:v>
                </c:pt>
                <c:pt idx="8">
                  <c:v>0.46</c:v>
                </c:pt>
                <c:pt idx="9">
                  <c:v>0.46</c:v>
                </c:pt>
                <c:pt idx="10">
                  <c:v>0.46</c:v>
                </c:pt>
                <c:pt idx="11">
                  <c:v>0.46</c:v>
                </c:pt>
                <c:pt idx="12">
                  <c:v>0.46</c:v>
                </c:pt>
              </c:numCache>
            </c:numRef>
          </c:val>
          <c:extLst/>
        </c:ser>
        <c:ser>
          <c:idx val="1"/>
          <c:order val="1"/>
          <c:tx>
            <c:v>Base</c:v>
          </c:tx>
          <c:cat>
            <c:numRef>
              <c:f>'Cálculo Aforo'!L_Acumulado</c:f>
              <c:numCache>
                <c:formatCode>0.00</c:formatCode>
                <c:ptCount val="13"/>
                <c:pt idx="0">
                  <c:v>0</c:v>
                </c:pt>
                <c:pt idx="1">
                  <c:v>0.11</c:v>
                </c:pt>
                <c:pt idx="2">
                  <c:v>0.22</c:v>
                </c:pt>
                <c:pt idx="3">
                  <c:v>0.33</c:v>
                </c:pt>
                <c:pt idx="4">
                  <c:v>0.44000000000000006</c:v>
                </c:pt>
                <c:pt idx="5">
                  <c:v>0.55000000000000004</c:v>
                </c:pt>
                <c:pt idx="6">
                  <c:v>0.65500000000000003</c:v>
                </c:pt>
                <c:pt idx="7">
                  <c:v>0.76</c:v>
                </c:pt>
                <c:pt idx="8">
                  <c:v>0.87</c:v>
                </c:pt>
                <c:pt idx="9">
                  <c:v>0.98</c:v>
                </c:pt>
                <c:pt idx="10">
                  <c:v>1.0899999999999999</c:v>
                </c:pt>
                <c:pt idx="11">
                  <c:v>1.2</c:v>
                </c:pt>
                <c:pt idx="12">
                  <c:v>1.31</c:v>
                </c:pt>
              </c:numCache>
              <c:extLst xmlns:c15="http://schemas.microsoft.com/office/drawing/2012/chart"/>
            </c:numRef>
          </c:cat>
          <c:val>
            <c:numRef>
              <c:f>'Cálculo Aforo'!Base</c:f>
              <c:numCache>
                <c:formatCode>0.00</c:formatCode>
                <c:ptCount val="13"/>
                <c:pt idx="0">
                  <c:v>1.0000000000000009E-2</c:v>
                </c:pt>
                <c:pt idx="1">
                  <c:v>0</c:v>
                </c:pt>
                <c:pt idx="2">
                  <c:v>0</c:v>
                </c:pt>
                <c:pt idx="3">
                  <c:v>0</c:v>
                </c:pt>
                <c:pt idx="4">
                  <c:v>0</c:v>
                </c:pt>
                <c:pt idx="5">
                  <c:v>0</c:v>
                </c:pt>
                <c:pt idx="6">
                  <c:v>0</c:v>
                </c:pt>
                <c:pt idx="7">
                  <c:v>0</c:v>
                </c:pt>
                <c:pt idx="8">
                  <c:v>0</c:v>
                </c:pt>
                <c:pt idx="9">
                  <c:v>0</c:v>
                </c:pt>
                <c:pt idx="10">
                  <c:v>0</c:v>
                </c:pt>
                <c:pt idx="11">
                  <c:v>0</c:v>
                </c:pt>
                <c:pt idx="12">
                  <c:v>0</c:v>
                </c:pt>
              </c:numCache>
            </c:numRef>
          </c:val>
          <c:extLst/>
        </c:ser>
        <c:bandFmts/>
        <c:axId val="119424400"/>
        <c:axId val="119424960"/>
        <c:axId val="121490864"/>
      </c:surface3DChart>
      <c:catAx>
        <c:axId val="119424400"/>
        <c:scaling>
          <c:orientation val="minMax"/>
        </c:scaling>
        <c:delete val="0"/>
        <c:axPos val="b"/>
        <c:title>
          <c:tx>
            <c:rich>
              <a:bodyPr/>
              <a:lstStyle/>
              <a:p>
                <a:pPr>
                  <a:defRPr sz="1800" b="0"/>
                </a:pPr>
                <a:r>
                  <a:rPr lang="es-CL" sz="1800" b="0"/>
                  <a:t>Perfil</a:t>
                </a:r>
                <a:r>
                  <a:rPr lang="es-CL" sz="1800" b="0" baseline="0"/>
                  <a:t> transversal del canal (m)</a:t>
                </a:r>
              </a:p>
            </c:rich>
          </c:tx>
          <c:overlay val="0"/>
        </c:title>
        <c:numFmt formatCode="0.00" sourceLinked="1"/>
        <c:majorTickMark val="out"/>
        <c:minorTickMark val="none"/>
        <c:tickLblPos val="nextTo"/>
        <c:txPr>
          <a:bodyPr/>
          <a:lstStyle/>
          <a:p>
            <a:pPr>
              <a:defRPr sz="1200" b="0"/>
            </a:pPr>
            <a:endParaRPr lang="es-US"/>
          </a:p>
        </c:txPr>
        <c:crossAx val="119424960"/>
        <c:crosses val="autoZero"/>
        <c:auto val="1"/>
        <c:lblAlgn val="ctr"/>
        <c:lblOffset val="100"/>
        <c:noMultiLvlLbl val="0"/>
      </c:catAx>
      <c:valAx>
        <c:axId val="119424960"/>
        <c:scaling>
          <c:orientation val="minMax"/>
        </c:scaling>
        <c:delete val="0"/>
        <c:axPos val="l"/>
        <c:title>
          <c:tx>
            <c:rich>
              <a:bodyPr rot="-5400000" vert="horz"/>
              <a:lstStyle/>
              <a:p>
                <a:pPr>
                  <a:defRPr sz="1800" b="0"/>
                </a:pPr>
                <a:r>
                  <a:rPr lang="en-US" sz="1800" b="0"/>
                  <a:t>Altura desde</a:t>
                </a:r>
                <a:r>
                  <a:rPr lang="en-US" sz="1800" b="0" baseline="0"/>
                  <a:t> </a:t>
                </a:r>
                <a:r>
                  <a:rPr lang="en-US" sz="1800" b="0"/>
                  <a:t>la base a la lámina de agua (m)</a:t>
                </a:r>
              </a:p>
            </c:rich>
          </c:tx>
          <c:overlay val="0"/>
        </c:title>
        <c:numFmt formatCode="0.00" sourceLinked="1"/>
        <c:majorTickMark val="out"/>
        <c:minorTickMark val="none"/>
        <c:tickLblPos val="nextTo"/>
        <c:txPr>
          <a:bodyPr/>
          <a:lstStyle/>
          <a:p>
            <a:pPr>
              <a:defRPr sz="1200" b="0"/>
            </a:pPr>
            <a:endParaRPr lang="es-US"/>
          </a:p>
        </c:txPr>
        <c:crossAx val="119424400"/>
        <c:crosses val="autoZero"/>
        <c:crossBetween val="midCat"/>
      </c:valAx>
      <c:serAx>
        <c:axId val="121490864"/>
        <c:scaling>
          <c:orientation val="minMax"/>
        </c:scaling>
        <c:delete val="1"/>
        <c:axPos val="b"/>
        <c:majorTickMark val="out"/>
        <c:minorTickMark val="none"/>
        <c:tickLblPos val="nextTo"/>
        <c:crossAx val="119424960"/>
        <c:crosses val="autoZero"/>
      </c:serAx>
    </c:plotArea>
    <c:plotVisOnly val="1"/>
    <c:dispBlanksAs val="gap"/>
    <c:showDLblsOverMax val="0"/>
  </c:chart>
  <c:spPr>
    <a:blipFill dpi="0" rotWithShape="1">
      <a:blip xmlns:r="http://schemas.openxmlformats.org/officeDocument/2006/relationships" r:embed="rId1">
        <a:alphaModFix amt="60000"/>
      </a:blip>
      <a:srcRect/>
      <a:stretch>
        <a:fillRect/>
      </a:stretch>
    </a:blipFill>
    <a:ln>
      <a:noFill/>
    </a:ln>
    <a:effectLst>
      <a:glow>
        <a:schemeClr val="bg1"/>
      </a:glow>
      <a:outerShdw sx="1000" sy="1000" algn="ctr" rotWithShape="0">
        <a:schemeClr val="bg1"/>
      </a:outerShdw>
    </a:effectLst>
    <a:scene3d>
      <a:camera prst="orthographicFront"/>
      <a:lightRig rig="threePt" dir="t"/>
    </a:scene3d>
    <a:sp3d prstMaterial="legacyWireframe"/>
  </c:spPr>
</c:chartSpace>
</file>

<file path=xl/charts/chart2.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19"/>
    </mc:Choice>
    <mc:Fallback>
      <c:style val="19"/>
    </mc:Fallback>
  </mc:AlternateContent>
  <c:chart>
    <c:autoTitleDeleted val="1"/>
    <c:view3D>
      <c:rotX val="0"/>
      <c:hPercent val="100"/>
      <c:rotY val="0"/>
      <c:depthPercent val="100"/>
      <c:rAngAx val="1"/>
    </c:view3D>
    <c:floor>
      <c:thickness val="0"/>
    </c:floor>
    <c:sideWall>
      <c:thickness val="0"/>
      <c:spPr>
        <a:noFill/>
        <a:ln w="25400">
          <a:noFill/>
        </a:ln>
      </c:spPr>
    </c:sideWall>
    <c:backWall>
      <c:thickness val="0"/>
      <c:spPr>
        <a:noFill/>
        <a:ln w="25400">
          <a:noFill/>
        </a:ln>
      </c:spPr>
    </c:backWall>
    <c:plotArea>
      <c:layout>
        <c:manualLayout>
          <c:layoutTarget val="inner"/>
          <c:xMode val="edge"/>
          <c:yMode val="edge"/>
          <c:x val="0.15344061621957"/>
          <c:y val="9.87179387524795E-2"/>
          <c:w val="0.81450461932059504"/>
          <c:h val="0.59366791907248895"/>
        </c:manualLayout>
      </c:layout>
      <c:surface3DChart>
        <c:wireframe val="1"/>
        <c:ser>
          <c:idx val="0"/>
          <c:order val="0"/>
          <c:tx>
            <c:v>Lámina de agua</c:v>
          </c:tx>
          <c:spPr>
            <a:ln w="12700">
              <a:solidFill>
                <a:schemeClr val="tx1"/>
              </a:solidFill>
            </a:ln>
          </c:spPr>
          <c:cat>
            <c:numRef>
              <c:f>'Cálculo Aforo'!L_Acumulado</c:f>
              <c:numCache>
                <c:formatCode>0.00</c:formatCode>
                <c:ptCount val="13"/>
                <c:pt idx="0">
                  <c:v>0</c:v>
                </c:pt>
                <c:pt idx="1">
                  <c:v>0.11</c:v>
                </c:pt>
                <c:pt idx="2">
                  <c:v>0.22</c:v>
                </c:pt>
                <c:pt idx="3">
                  <c:v>0.33</c:v>
                </c:pt>
                <c:pt idx="4">
                  <c:v>0.44000000000000006</c:v>
                </c:pt>
                <c:pt idx="5">
                  <c:v>0.55000000000000004</c:v>
                </c:pt>
                <c:pt idx="6">
                  <c:v>0.65500000000000003</c:v>
                </c:pt>
                <c:pt idx="7">
                  <c:v>0.76</c:v>
                </c:pt>
                <c:pt idx="8">
                  <c:v>0.87</c:v>
                </c:pt>
                <c:pt idx="9">
                  <c:v>0.98</c:v>
                </c:pt>
                <c:pt idx="10">
                  <c:v>1.0899999999999999</c:v>
                </c:pt>
                <c:pt idx="11">
                  <c:v>1.2</c:v>
                </c:pt>
                <c:pt idx="12">
                  <c:v>1.31</c:v>
                </c:pt>
              </c:numCache>
              <c:extLst xmlns:c15="http://schemas.microsoft.com/office/drawing/2012/chart"/>
            </c:numRef>
          </c:cat>
          <c:val>
            <c:numRef>
              <c:f>'Cálculo Aforo'!Lamina</c:f>
              <c:numCache>
                <c:formatCode>0.00</c:formatCode>
                <c:ptCount val="13"/>
                <c:pt idx="0">
                  <c:v>0.46</c:v>
                </c:pt>
                <c:pt idx="1">
                  <c:v>0.46</c:v>
                </c:pt>
                <c:pt idx="2">
                  <c:v>0.46</c:v>
                </c:pt>
                <c:pt idx="3">
                  <c:v>0.46</c:v>
                </c:pt>
                <c:pt idx="4">
                  <c:v>0.46</c:v>
                </c:pt>
                <c:pt idx="5">
                  <c:v>0.46</c:v>
                </c:pt>
                <c:pt idx="6">
                  <c:v>0.46</c:v>
                </c:pt>
                <c:pt idx="7">
                  <c:v>0.46</c:v>
                </c:pt>
                <c:pt idx="8">
                  <c:v>0.46</c:v>
                </c:pt>
                <c:pt idx="9">
                  <c:v>0.46</c:v>
                </c:pt>
                <c:pt idx="10">
                  <c:v>0.46</c:v>
                </c:pt>
                <c:pt idx="11">
                  <c:v>0.46</c:v>
                </c:pt>
                <c:pt idx="12">
                  <c:v>0.46</c:v>
                </c:pt>
              </c:numCache>
            </c:numRef>
          </c:val>
          <c:extLst/>
        </c:ser>
        <c:ser>
          <c:idx val="1"/>
          <c:order val="1"/>
          <c:tx>
            <c:v>Base</c:v>
          </c:tx>
          <c:spPr>
            <a:ln w="12700">
              <a:solidFill>
                <a:schemeClr val="tx1"/>
              </a:solidFill>
            </a:ln>
          </c:spPr>
          <c:cat>
            <c:numRef>
              <c:f>'Cálculo Aforo'!L_Acumulado</c:f>
              <c:numCache>
                <c:formatCode>0.00</c:formatCode>
                <c:ptCount val="13"/>
                <c:pt idx="0">
                  <c:v>0</c:v>
                </c:pt>
                <c:pt idx="1">
                  <c:v>0.11</c:v>
                </c:pt>
                <c:pt idx="2">
                  <c:v>0.22</c:v>
                </c:pt>
                <c:pt idx="3">
                  <c:v>0.33</c:v>
                </c:pt>
                <c:pt idx="4">
                  <c:v>0.44000000000000006</c:v>
                </c:pt>
                <c:pt idx="5">
                  <c:v>0.55000000000000004</c:v>
                </c:pt>
                <c:pt idx="6">
                  <c:v>0.65500000000000003</c:v>
                </c:pt>
                <c:pt idx="7">
                  <c:v>0.76</c:v>
                </c:pt>
                <c:pt idx="8">
                  <c:v>0.87</c:v>
                </c:pt>
                <c:pt idx="9">
                  <c:v>0.98</c:v>
                </c:pt>
                <c:pt idx="10">
                  <c:v>1.0899999999999999</c:v>
                </c:pt>
                <c:pt idx="11">
                  <c:v>1.2</c:v>
                </c:pt>
                <c:pt idx="12">
                  <c:v>1.31</c:v>
                </c:pt>
              </c:numCache>
              <c:extLst xmlns:c15="http://schemas.microsoft.com/office/drawing/2012/chart"/>
            </c:numRef>
          </c:cat>
          <c:val>
            <c:numRef>
              <c:f>'Cálculo Aforo'!Base</c:f>
              <c:numCache>
                <c:formatCode>0.00</c:formatCode>
                <c:ptCount val="13"/>
                <c:pt idx="0">
                  <c:v>1.0000000000000009E-2</c:v>
                </c:pt>
                <c:pt idx="1">
                  <c:v>0</c:v>
                </c:pt>
                <c:pt idx="2">
                  <c:v>0</c:v>
                </c:pt>
                <c:pt idx="3">
                  <c:v>0</c:v>
                </c:pt>
                <c:pt idx="4">
                  <c:v>0</c:v>
                </c:pt>
                <c:pt idx="5">
                  <c:v>0</c:v>
                </c:pt>
                <c:pt idx="6">
                  <c:v>0</c:v>
                </c:pt>
                <c:pt idx="7">
                  <c:v>0</c:v>
                </c:pt>
                <c:pt idx="8">
                  <c:v>0</c:v>
                </c:pt>
                <c:pt idx="9">
                  <c:v>0</c:v>
                </c:pt>
                <c:pt idx="10">
                  <c:v>0</c:v>
                </c:pt>
                <c:pt idx="11">
                  <c:v>0</c:v>
                </c:pt>
                <c:pt idx="12">
                  <c:v>0</c:v>
                </c:pt>
              </c:numCache>
            </c:numRef>
          </c:val>
          <c:extLst/>
        </c:ser>
        <c:bandFmts/>
        <c:axId val="119427760"/>
        <c:axId val="119428320"/>
        <c:axId val="121492112"/>
      </c:surface3DChart>
      <c:catAx>
        <c:axId val="119427760"/>
        <c:scaling>
          <c:orientation val="minMax"/>
        </c:scaling>
        <c:delete val="0"/>
        <c:axPos val="b"/>
        <c:title>
          <c:tx>
            <c:rich>
              <a:bodyPr/>
              <a:lstStyle/>
              <a:p>
                <a:pPr>
                  <a:defRPr sz="800" b="0"/>
                </a:pPr>
                <a:r>
                  <a:rPr lang="es-CL" sz="800" b="0"/>
                  <a:t>Perfil</a:t>
                </a:r>
                <a:r>
                  <a:rPr lang="es-CL" sz="800" b="0" baseline="0"/>
                  <a:t> transversal del canal (m)</a:t>
                </a:r>
              </a:p>
            </c:rich>
          </c:tx>
          <c:layout>
            <c:manualLayout>
              <c:xMode val="edge"/>
              <c:yMode val="edge"/>
              <c:x val="0.42681702986300901"/>
              <c:y val="0.85851889173037599"/>
            </c:manualLayout>
          </c:layout>
          <c:overlay val="0"/>
        </c:title>
        <c:numFmt formatCode="0.00" sourceLinked="1"/>
        <c:majorTickMark val="out"/>
        <c:minorTickMark val="none"/>
        <c:tickLblPos val="nextTo"/>
        <c:txPr>
          <a:bodyPr rot="-2700000" vert="horz"/>
          <a:lstStyle/>
          <a:p>
            <a:pPr>
              <a:defRPr sz="800" b="0"/>
            </a:pPr>
            <a:endParaRPr lang="es-US"/>
          </a:p>
        </c:txPr>
        <c:crossAx val="119428320"/>
        <c:crosses val="autoZero"/>
        <c:auto val="1"/>
        <c:lblAlgn val="ctr"/>
        <c:lblOffset val="100"/>
        <c:noMultiLvlLbl val="0"/>
      </c:catAx>
      <c:valAx>
        <c:axId val="119428320"/>
        <c:scaling>
          <c:orientation val="minMax"/>
        </c:scaling>
        <c:delete val="0"/>
        <c:axPos val="l"/>
        <c:title>
          <c:tx>
            <c:rich>
              <a:bodyPr rot="-5400000" vert="horz"/>
              <a:lstStyle/>
              <a:p>
                <a:pPr>
                  <a:defRPr sz="800" b="0"/>
                </a:pPr>
                <a:r>
                  <a:rPr lang="en-US" sz="800" b="0"/>
                  <a:t>Altura desde</a:t>
                </a:r>
                <a:r>
                  <a:rPr lang="en-US" sz="800" b="0" baseline="0"/>
                  <a:t> </a:t>
                </a:r>
                <a:r>
                  <a:rPr lang="en-US" sz="800" b="0"/>
                  <a:t>la base a la lámina de agua (m)</a:t>
                </a:r>
              </a:p>
            </c:rich>
          </c:tx>
          <c:overlay val="0"/>
        </c:title>
        <c:numFmt formatCode="0.00" sourceLinked="1"/>
        <c:majorTickMark val="out"/>
        <c:minorTickMark val="none"/>
        <c:tickLblPos val="nextTo"/>
        <c:txPr>
          <a:bodyPr/>
          <a:lstStyle/>
          <a:p>
            <a:pPr>
              <a:defRPr sz="800" b="0"/>
            </a:pPr>
            <a:endParaRPr lang="es-US"/>
          </a:p>
        </c:txPr>
        <c:crossAx val="119427760"/>
        <c:crosses val="autoZero"/>
        <c:crossBetween val="midCat"/>
      </c:valAx>
      <c:serAx>
        <c:axId val="121492112"/>
        <c:scaling>
          <c:orientation val="minMax"/>
        </c:scaling>
        <c:delete val="1"/>
        <c:axPos val="b"/>
        <c:majorTickMark val="out"/>
        <c:minorTickMark val="none"/>
        <c:tickLblPos val="nextTo"/>
        <c:crossAx val="119428320"/>
        <c:crosses val="autoZero"/>
      </c:serAx>
    </c:plotArea>
    <c:plotVisOnly val="1"/>
    <c:dispBlanksAs val="gap"/>
    <c:showDLblsOverMax val="0"/>
  </c:chart>
  <c:spPr>
    <a:noFill/>
    <a:ln>
      <a:noFill/>
    </a:ln>
    <a:effectLst>
      <a:glow>
        <a:schemeClr val="bg1"/>
      </a:glow>
      <a:outerShdw sx="1000" sy="1000" algn="ctr" rotWithShape="0">
        <a:schemeClr val="bg1"/>
      </a:outerShdw>
    </a:effectLst>
    <a:scene3d>
      <a:camera prst="orthographicFront"/>
      <a:lightRig rig="threePt" dir="t"/>
    </a:scene3d>
    <a:sp3d prstMaterial="legacyWireframe"/>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19"/>
    </mc:Choice>
    <mc:Fallback>
      <c:style val="19"/>
    </mc:Fallback>
  </mc:AlternateContent>
  <c:protection>
    <c:chartObject val="0"/>
    <c:data val="0"/>
    <c:formatting val="0"/>
    <c:selection val="0"/>
    <c:userInterface val="0"/>
  </c:protection>
  <c:chart>
    <c:title>
      <c:tx>
        <c:rich>
          <a:bodyPr/>
          <a:lstStyle/>
          <a:p>
            <a:pPr>
              <a:defRPr sz="2400" b="1" cap="none" spc="0">
                <a:ln w="1905"/>
                <a:gradFill>
                  <a:gsLst>
                    <a:gs pos="0">
                      <a:schemeClr val="accent6">
                        <a:shade val="20000"/>
                        <a:satMod val="200000"/>
                      </a:schemeClr>
                    </a:gs>
                    <a:gs pos="78000">
                      <a:schemeClr val="accent6">
                        <a:tint val="90000"/>
                        <a:shade val="89000"/>
                        <a:satMod val="220000"/>
                      </a:schemeClr>
                    </a:gs>
                    <a:gs pos="100000">
                      <a:schemeClr val="accent6">
                        <a:tint val="12000"/>
                        <a:satMod val="255000"/>
                      </a:schemeClr>
                    </a:gs>
                  </a:gsLst>
                  <a:lin ang="5400000"/>
                </a:gradFill>
                <a:effectLst>
                  <a:innerShdw blurRad="69850" dist="43180" dir="5400000">
                    <a:srgbClr val="000000">
                      <a:alpha val="65000"/>
                    </a:srgbClr>
                  </a:innerShdw>
                </a:effectLst>
              </a:defRPr>
            </a:pPr>
            <a:r>
              <a:rPr lang="es-CL" sz="2400" b="1" cap="none" spc="0">
                <a:ln w="1905"/>
                <a:gradFill>
                  <a:gsLst>
                    <a:gs pos="0">
                      <a:schemeClr val="accent6">
                        <a:shade val="20000"/>
                        <a:satMod val="200000"/>
                      </a:schemeClr>
                    </a:gs>
                    <a:gs pos="78000">
                      <a:schemeClr val="accent6">
                        <a:tint val="90000"/>
                        <a:shade val="89000"/>
                        <a:satMod val="220000"/>
                      </a:schemeClr>
                    </a:gs>
                    <a:gs pos="100000">
                      <a:schemeClr val="accent6">
                        <a:tint val="12000"/>
                        <a:satMod val="255000"/>
                      </a:schemeClr>
                    </a:gs>
                  </a:gsLst>
                  <a:lin ang="5400000"/>
                </a:gradFill>
                <a:effectLst>
                  <a:innerShdw blurRad="69850" dist="43180" dir="5400000">
                    <a:srgbClr val="000000">
                      <a:alpha val="65000"/>
                    </a:srgbClr>
                  </a:innerShdw>
                </a:effectLst>
              </a:rPr>
              <a:t>Representación gráfica del perfil transversal del canal</a:t>
            </a:r>
          </a:p>
        </c:rich>
      </c:tx>
      <c:overlay val="0"/>
    </c:title>
    <c:autoTitleDeleted val="0"/>
    <c:view3D>
      <c:rotX val="0"/>
      <c:hPercent val="100"/>
      <c:rotY val="0"/>
      <c:depthPercent val="100"/>
      <c:rAngAx val="1"/>
    </c:view3D>
    <c:floor>
      <c:thickness val="0"/>
    </c:floor>
    <c:sideWall>
      <c:thickness val="0"/>
      <c:spPr>
        <a:noFill/>
        <a:ln w="25400">
          <a:noFill/>
        </a:ln>
      </c:spPr>
    </c:sideWall>
    <c:backWall>
      <c:thickness val="0"/>
      <c:spPr>
        <a:noFill/>
        <a:ln w="25400">
          <a:noFill/>
        </a:ln>
      </c:spPr>
    </c:backWall>
    <c:plotArea>
      <c:layout/>
      <c:surface3DChart>
        <c:wireframe val="0"/>
        <c:ser>
          <c:idx val="0"/>
          <c:order val="0"/>
          <c:tx>
            <c:v>Lámina de agua</c:v>
          </c:tx>
          <c:cat>
            <c:numRef>
              <c:f>'Cálculo Aforo - Simplificado'!L_Acumulado</c:f>
              <c:numCache>
                <c:formatCode>0.00</c:formatCode>
                <c:ptCount val="1"/>
                <c:pt idx="0">
                  <c:v>0</c:v>
                </c:pt>
              </c:numCache>
            </c:numRef>
          </c:cat>
          <c:val>
            <c:numRef>
              <c:f>'Cálculo Aforo - Simplificado'!Lamina</c:f>
              <c:numCache>
                <c:formatCode>0.00</c:formatCode>
                <c:ptCount val="1"/>
                <c:pt idx="0">
                  <c:v>0</c:v>
                </c:pt>
              </c:numCache>
            </c:numRef>
          </c:val>
        </c:ser>
        <c:ser>
          <c:idx val="1"/>
          <c:order val="1"/>
          <c:tx>
            <c:v>Base</c:v>
          </c:tx>
          <c:cat>
            <c:numRef>
              <c:f>'Cálculo Aforo - Simplificado'!L_Acumulado</c:f>
              <c:numCache>
                <c:formatCode>0.00</c:formatCode>
                <c:ptCount val="1"/>
                <c:pt idx="0">
                  <c:v>0</c:v>
                </c:pt>
              </c:numCache>
            </c:numRef>
          </c:cat>
          <c:val>
            <c:numRef>
              <c:f>'Cálculo Aforo - Simplificado'!Base</c:f>
              <c:numCache>
                <c:formatCode>0.00</c:formatCode>
                <c:ptCount val="1"/>
                <c:pt idx="0">
                  <c:v>0</c:v>
                </c:pt>
              </c:numCache>
            </c:numRef>
          </c:val>
        </c:ser>
        <c:bandFmts/>
        <c:axId val="268965072"/>
        <c:axId val="268965632"/>
        <c:axId val="121492736"/>
      </c:surface3DChart>
      <c:catAx>
        <c:axId val="268965072"/>
        <c:scaling>
          <c:orientation val="minMax"/>
        </c:scaling>
        <c:delete val="0"/>
        <c:axPos val="b"/>
        <c:title>
          <c:tx>
            <c:rich>
              <a:bodyPr/>
              <a:lstStyle/>
              <a:p>
                <a:pPr>
                  <a:defRPr sz="1800" b="0"/>
                </a:pPr>
                <a:r>
                  <a:rPr lang="es-CL" sz="1800" b="0"/>
                  <a:t>Perfil</a:t>
                </a:r>
                <a:r>
                  <a:rPr lang="es-CL" sz="1800" b="0" baseline="0"/>
                  <a:t> transversal del canal (m)</a:t>
                </a:r>
              </a:p>
            </c:rich>
          </c:tx>
          <c:overlay val="0"/>
        </c:title>
        <c:numFmt formatCode="0.00" sourceLinked="1"/>
        <c:majorTickMark val="out"/>
        <c:minorTickMark val="none"/>
        <c:tickLblPos val="nextTo"/>
        <c:txPr>
          <a:bodyPr/>
          <a:lstStyle/>
          <a:p>
            <a:pPr>
              <a:defRPr sz="1200" b="0"/>
            </a:pPr>
            <a:endParaRPr lang="es-US"/>
          </a:p>
        </c:txPr>
        <c:crossAx val="268965632"/>
        <c:crosses val="autoZero"/>
        <c:auto val="1"/>
        <c:lblAlgn val="ctr"/>
        <c:lblOffset val="100"/>
        <c:noMultiLvlLbl val="0"/>
      </c:catAx>
      <c:valAx>
        <c:axId val="268965632"/>
        <c:scaling>
          <c:orientation val="minMax"/>
        </c:scaling>
        <c:delete val="0"/>
        <c:axPos val="l"/>
        <c:title>
          <c:tx>
            <c:rich>
              <a:bodyPr rot="-5400000" vert="horz"/>
              <a:lstStyle/>
              <a:p>
                <a:pPr>
                  <a:defRPr sz="1800" b="0"/>
                </a:pPr>
                <a:r>
                  <a:rPr lang="en-US" sz="1800" b="0"/>
                  <a:t>Altura desde</a:t>
                </a:r>
                <a:r>
                  <a:rPr lang="en-US" sz="1800" b="0" baseline="0"/>
                  <a:t> </a:t>
                </a:r>
                <a:r>
                  <a:rPr lang="en-US" sz="1800" b="0"/>
                  <a:t>la base a la lámina de agua (m)</a:t>
                </a:r>
              </a:p>
            </c:rich>
          </c:tx>
          <c:overlay val="0"/>
        </c:title>
        <c:numFmt formatCode="0.00" sourceLinked="1"/>
        <c:majorTickMark val="out"/>
        <c:minorTickMark val="none"/>
        <c:tickLblPos val="nextTo"/>
        <c:txPr>
          <a:bodyPr/>
          <a:lstStyle/>
          <a:p>
            <a:pPr>
              <a:defRPr sz="1200" b="0"/>
            </a:pPr>
            <a:endParaRPr lang="es-US"/>
          </a:p>
        </c:txPr>
        <c:crossAx val="268965072"/>
        <c:crosses val="autoZero"/>
        <c:crossBetween val="midCat"/>
      </c:valAx>
      <c:serAx>
        <c:axId val="121492736"/>
        <c:scaling>
          <c:orientation val="minMax"/>
        </c:scaling>
        <c:delete val="1"/>
        <c:axPos val="b"/>
        <c:majorTickMark val="out"/>
        <c:minorTickMark val="none"/>
        <c:tickLblPos val="nextTo"/>
        <c:crossAx val="268965632"/>
        <c:crosses val="autoZero"/>
      </c:serAx>
    </c:plotArea>
    <c:plotVisOnly val="1"/>
    <c:dispBlanksAs val="gap"/>
    <c:showDLblsOverMax val="0"/>
  </c:chart>
  <c:spPr>
    <a:blipFill dpi="0" rotWithShape="1">
      <a:blip xmlns:r="http://schemas.openxmlformats.org/officeDocument/2006/relationships" r:embed="rId1">
        <a:alphaModFix amt="60000"/>
      </a:blip>
      <a:srcRect/>
      <a:stretch>
        <a:fillRect/>
      </a:stretch>
    </a:blipFill>
    <a:ln>
      <a:noFill/>
    </a:ln>
    <a:effectLst>
      <a:glow>
        <a:schemeClr val="bg1"/>
      </a:glow>
      <a:outerShdw sx="1000" sy="1000" algn="ctr" rotWithShape="0">
        <a:schemeClr val="bg1"/>
      </a:outerShdw>
    </a:effectLst>
    <a:scene3d>
      <a:camera prst="orthographicFront"/>
      <a:lightRig rig="threePt" dir="t"/>
    </a:scene3d>
    <a:sp3d prstMaterial="legacyWireframe"/>
  </c:spPr>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2.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6.xml"/></Relationships>
</file>

<file path=xl/chartsheets/sheet1.xml><?xml version="1.0" encoding="utf-8"?>
<chartsheet xmlns="http://schemas.openxmlformats.org/spreadsheetml/2006/main" xmlns:r="http://schemas.openxmlformats.org/officeDocument/2006/relationships">
  <sheetPr/>
  <sheetViews>
    <sheetView zoomScale="134" workbookViewId="0" zoomToFit="1"/>
  </sheetViews>
  <sheetProtection algorithmName="SHA-512" hashValue="4m0CX6qvouh+AqAA9lJUxFi8jYcU90C+ArkSnO190j6xvcEksnW2UQZfgE2Qvh0K6vqFniiuUDxzmRPO9DWOkg==" saltValue="Fh81sSpCseyj5LUZ0UT4/Q==" spinCount="100000" content="1" objects="1"/>
  <pageMargins left="0.7" right="0.7" top="0.75" bottom="0.75" header="0.3" footer="0.3"/>
  <drawing r:id="rId1"/>
</chartsheet>
</file>

<file path=xl/chartsheets/sheet2.xml><?xml version="1.0" encoding="utf-8"?>
<chartsheet xmlns="http://schemas.openxmlformats.org/spreadsheetml/2006/main" xmlns:r="http://schemas.openxmlformats.org/officeDocument/2006/relationships">
  <sheetPr/>
  <sheetViews>
    <sheetView zoomScale="108" workbookViewId="0" zoomToFit="1"/>
  </sheetViews>
  <sheetProtection algorithmName="SHA-512" hashValue="g2tKZXndj2parS1G0S1Vy5Li89SNF6nBELpAIUtGnGvBFLnSqc61Cd/5tE/11CuTmhRHJcaAZn8PCDPgkd9lMw==" saltValue="ye0DEQ0PxXoDPf+XIqIZLw==" spinCount="100000" content="1" objects="1"/>
  <pageMargins left="0.7" right="0.7" top="0.75" bottom="0.75" header="0.3" footer="0.3"/>
  <drawing r:id="rId1"/>
</chartsheet>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jp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image" Target="../media/image9.emf"/><Relationship Id="rId1" Type="http://schemas.openxmlformats.org/officeDocument/2006/relationships/image" Target="../media/image8.emf"/></Relationships>
</file>

<file path=xl/drawings/_rels/drawing4.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image" Target="../media/image10.png"/></Relationships>
</file>

<file path=xl/drawings/_rels/drawing5.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jpg"/><Relationship Id="rId4" Type="http://schemas.openxmlformats.org/officeDocument/2006/relationships/image" Target="../media/image11.png"/></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editAs="oneCell">
    <xdr:from>
      <xdr:col>28</xdr:col>
      <xdr:colOff>612320</xdr:colOff>
      <xdr:row>20</xdr:row>
      <xdr:rowOff>226375</xdr:rowOff>
    </xdr:from>
    <xdr:to>
      <xdr:col>30</xdr:col>
      <xdr:colOff>680355</xdr:colOff>
      <xdr:row>24</xdr:row>
      <xdr:rowOff>30927</xdr:rowOff>
    </xdr:to>
    <xdr:pic>
      <xdr:nvPicPr>
        <xdr:cNvPr id="3" name="2 Imagen"/>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5783047" y="5733557"/>
          <a:ext cx="1592036" cy="1432461"/>
        </a:xfrm>
        <a:prstGeom prst="rect">
          <a:avLst/>
        </a:prstGeom>
      </xdr:spPr>
    </xdr:pic>
    <xdr:clientData/>
  </xdr:twoCellAnchor>
  <xdr:twoCellAnchor editAs="oneCell">
    <xdr:from>
      <xdr:col>30</xdr:col>
      <xdr:colOff>741321</xdr:colOff>
      <xdr:row>20</xdr:row>
      <xdr:rowOff>268135</xdr:rowOff>
    </xdr:from>
    <xdr:to>
      <xdr:col>32</xdr:col>
      <xdr:colOff>179368</xdr:colOff>
      <xdr:row>23</xdr:row>
      <xdr:rowOff>335231</xdr:rowOff>
    </xdr:to>
    <xdr:pic>
      <xdr:nvPicPr>
        <xdr:cNvPr id="4" name="3 Imagen"/>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7436048" y="5775317"/>
          <a:ext cx="962046" cy="1348641"/>
        </a:xfrm>
        <a:prstGeom prst="rect">
          <a:avLst/>
        </a:prstGeom>
      </xdr:spPr>
    </xdr:pic>
    <xdr:clientData/>
  </xdr:twoCellAnchor>
  <xdr:twoCellAnchor editAs="oneCell">
    <xdr:from>
      <xdr:col>53</xdr:col>
      <xdr:colOff>293172</xdr:colOff>
      <xdr:row>20</xdr:row>
      <xdr:rowOff>325814</xdr:rowOff>
    </xdr:from>
    <xdr:to>
      <xdr:col>58</xdr:col>
      <xdr:colOff>21027</xdr:colOff>
      <xdr:row>23</xdr:row>
      <xdr:rowOff>304455</xdr:rowOff>
    </xdr:to>
    <xdr:pic>
      <xdr:nvPicPr>
        <xdr:cNvPr id="5" name="4 Imagen"/>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25507208" y="7442350"/>
          <a:ext cx="1428749" cy="1271319"/>
        </a:xfrm>
        <a:prstGeom prst="rect">
          <a:avLst/>
        </a:prstGeom>
      </xdr:spPr>
    </xdr:pic>
    <xdr:clientData/>
  </xdr:twoCellAnchor>
  <xdr:twoCellAnchor editAs="oneCell">
    <xdr:from>
      <xdr:col>27</xdr:col>
      <xdr:colOff>381000</xdr:colOff>
      <xdr:row>1</xdr:row>
      <xdr:rowOff>155864</xdr:rowOff>
    </xdr:from>
    <xdr:to>
      <xdr:col>31</xdr:col>
      <xdr:colOff>377127</xdr:colOff>
      <xdr:row>11</xdr:row>
      <xdr:rowOff>69733</xdr:rowOff>
    </xdr:to>
    <xdr:pic>
      <xdr:nvPicPr>
        <xdr:cNvPr id="6" name="5 Imagen"/>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4789727" y="346364"/>
          <a:ext cx="3044126" cy="3619960"/>
        </a:xfrm>
        <a:prstGeom prst="rect">
          <a:avLst/>
        </a:prstGeom>
      </xdr:spPr>
    </xdr:pic>
    <xdr:clientData/>
  </xdr:twoCellAnchor>
  <xdr:twoCellAnchor editAs="oneCell">
    <xdr:from>
      <xdr:col>43</xdr:col>
      <xdr:colOff>285749</xdr:colOff>
      <xdr:row>21</xdr:row>
      <xdr:rowOff>68036</xdr:rowOff>
    </xdr:from>
    <xdr:to>
      <xdr:col>50</xdr:col>
      <xdr:colOff>176892</xdr:colOff>
      <xdr:row>23</xdr:row>
      <xdr:rowOff>213256</xdr:rowOff>
    </xdr:to>
    <xdr:pic>
      <xdr:nvPicPr>
        <xdr:cNvPr id="7" name="6 Imagen"/>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21676178" y="7551965"/>
          <a:ext cx="2694215" cy="1070505"/>
        </a:xfrm>
        <a:prstGeom prst="rect">
          <a:avLst/>
        </a:prstGeom>
      </xdr:spPr>
    </xdr:pic>
    <xdr:clientData/>
  </xdr:twoCellAnchor>
  <xdr:twoCellAnchor editAs="oneCell">
    <xdr:from>
      <xdr:col>24</xdr:col>
      <xdr:colOff>312964</xdr:colOff>
      <xdr:row>21</xdr:row>
      <xdr:rowOff>39908</xdr:rowOff>
    </xdr:from>
    <xdr:to>
      <xdr:col>28</xdr:col>
      <xdr:colOff>568792</xdr:colOff>
      <xdr:row>23</xdr:row>
      <xdr:rowOff>170255</xdr:rowOff>
    </xdr:to>
    <xdr:pic>
      <xdr:nvPicPr>
        <xdr:cNvPr id="8" name="7 Imagen"/>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12423321" y="7523837"/>
          <a:ext cx="3303827" cy="105563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absoluteAnchor>
    <xdr:pos x="0" y="0"/>
    <xdr:ext cx="8681493" cy="6293134"/>
    <xdr:graphicFrame macro="">
      <xdr:nvGraphicFramePr>
        <xdr:cNvPr id="2" name="1 Gráfico"/>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xdr:wsDr xmlns:xdr="http://schemas.openxmlformats.org/drawingml/2006/spreadsheetDrawing" xmlns:a="http://schemas.openxmlformats.org/drawingml/2006/main">
  <xdr:twoCellAnchor editAs="oneCell">
    <xdr:from>
      <xdr:col>7</xdr:col>
      <xdr:colOff>152400</xdr:colOff>
      <xdr:row>2</xdr:row>
      <xdr:rowOff>165100</xdr:rowOff>
    </xdr:from>
    <xdr:to>
      <xdr:col>8</xdr:col>
      <xdr:colOff>939800</xdr:colOff>
      <xdr:row>6</xdr:row>
      <xdr:rowOff>88900</xdr:rowOff>
    </xdr:to>
    <xdr:pic>
      <xdr:nvPicPr>
        <xdr:cNvPr id="4" name="Imagen 3"/>
        <xdr:cNvPicPr>
          <a:picLocks noChangeAspect="1"/>
        </xdr:cNvPicPr>
      </xdr:nvPicPr>
      <xdr:blipFill>
        <a:blip xmlns:r="http://schemas.openxmlformats.org/officeDocument/2006/relationships" r:embed="rId1"/>
        <a:stretch>
          <a:fillRect/>
        </a:stretch>
      </xdr:blipFill>
      <xdr:spPr>
        <a:xfrm>
          <a:off x="1524000" y="520700"/>
          <a:ext cx="1879600" cy="635000"/>
        </a:xfrm>
        <a:prstGeom prst="rect">
          <a:avLst/>
        </a:prstGeom>
      </xdr:spPr>
    </xdr:pic>
    <xdr:clientData/>
  </xdr:twoCellAnchor>
  <xdr:twoCellAnchor editAs="oneCell">
    <xdr:from>
      <xdr:col>12</xdr:col>
      <xdr:colOff>165100</xdr:colOff>
      <xdr:row>3</xdr:row>
      <xdr:rowOff>76200</xdr:rowOff>
    </xdr:from>
    <xdr:to>
      <xdr:col>13</xdr:col>
      <xdr:colOff>952500</xdr:colOff>
      <xdr:row>6</xdr:row>
      <xdr:rowOff>152400</xdr:rowOff>
    </xdr:to>
    <xdr:pic>
      <xdr:nvPicPr>
        <xdr:cNvPr id="5" name="Imagen 4"/>
        <xdr:cNvPicPr>
          <a:picLocks noChangeAspect="1"/>
        </xdr:cNvPicPr>
      </xdr:nvPicPr>
      <xdr:blipFill>
        <a:blip xmlns:r="http://schemas.openxmlformats.org/officeDocument/2006/relationships" r:embed="rId2"/>
        <a:stretch>
          <a:fillRect/>
        </a:stretch>
      </xdr:blipFill>
      <xdr:spPr>
        <a:xfrm>
          <a:off x="6731000" y="609600"/>
          <a:ext cx="1879600" cy="6096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18</xdr:col>
      <xdr:colOff>585107</xdr:colOff>
      <xdr:row>0</xdr:row>
      <xdr:rowOff>0</xdr:rowOff>
    </xdr:from>
    <xdr:to>
      <xdr:col>20</xdr:col>
      <xdr:colOff>40821</xdr:colOff>
      <xdr:row>5</xdr:row>
      <xdr:rowOff>27214</xdr:rowOff>
    </xdr:to>
    <xdr:pic>
      <xdr:nvPicPr>
        <xdr:cNvPr id="4" name="3 Imagen" descr="http://mgz.cl/wp-content/uploads/2012/03/320px-Logo_Gobierno_de_Chile_2010-2014.svg_.png"/>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4450786" y="0"/>
          <a:ext cx="979714" cy="979714"/>
        </a:xfrm>
        <a:prstGeom prst="rect">
          <a:avLst/>
        </a:prstGeom>
        <a:noFill/>
        <a:extLst>
          <a:ext uri="{909E8E84-426E-40dd-AFC4-6F175D3DCCD1}">
            <a14:hiddenFill xmlns="" xmlns:a14="http://schemas.microsoft.com/office/drawing/2010/main">
              <a:solidFill>
                <a:srgbClr val="FFFFFF"/>
              </a:solidFill>
            </a14:hiddenFill>
          </a:ext>
        </a:extLst>
      </xdr:spPr>
    </xdr:pic>
    <xdr:clientData/>
  </xdr:twoCellAnchor>
  <xdr:absoluteAnchor>
    <xdr:pos x="10314216" y="966108"/>
    <xdr:ext cx="4857749" cy="1524000"/>
    <xdr:graphicFrame macro="">
      <xdr:nvGraphicFramePr>
        <xdr:cNvPr id="5" name="4 Gráfico"/>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absoluteAnchor>
</xdr:wsDr>
</file>

<file path=xl/drawings/drawing5.xml><?xml version="1.0" encoding="utf-8"?>
<xdr:wsDr xmlns:xdr="http://schemas.openxmlformats.org/drawingml/2006/spreadsheetDrawing" xmlns:a="http://schemas.openxmlformats.org/drawingml/2006/main">
  <xdr:twoCellAnchor editAs="oneCell">
    <xdr:from>
      <xdr:col>28</xdr:col>
      <xdr:colOff>612320</xdr:colOff>
      <xdr:row>17</xdr:row>
      <xdr:rowOff>226375</xdr:rowOff>
    </xdr:from>
    <xdr:to>
      <xdr:col>31</xdr:col>
      <xdr:colOff>0</xdr:colOff>
      <xdr:row>21</xdr:row>
      <xdr:rowOff>30927</xdr:rowOff>
    </xdr:to>
    <xdr:pic>
      <xdr:nvPicPr>
        <xdr:cNvPr id="3" name="2 Imagen"/>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5747545" y="5808025"/>
          <a:ext cx="1592036" cy="1433327"/>
        </a:xfrm>
        <a:prstGeom prst="rect">
          <a:avLst/>
        </a:prstGeom>
      </xdr:spPr>
    </xdr:pic>
    <xdr:clientData/>
  </xdr:twoCellAnchor>
  <xdr:twoCellAnchor editAs="oneCell">
    <xdr:from>
      <xdr:col>30</xdr:col>
      <xdr:colOff>758640</xdr:colOff>
      <xdr:row>17</xdr:row>
      <xdr:rowOff>268134</xdr:rowOff>
    </xdr:from>
    <xdr:to>
      <xdr:col>44</xdr:col>
      <xdr:colOff>58142</xdr:colOff>
      <xdr:row>20</xdr:row>
      <xdr:rowOff>335230</xdr:rowOff>
    </xdr:to>
    <xdr:pic>
      <xdr:nvPicPr>
        <xdr:cNvPr id="4" name="3 Imagen"/>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5098095" y="5931179"/>
          <a:ext cx="962046" cy="1348641"/>
        </a:xfrm>
        <a:prstGeom prst="rect">
          <a:avLst/>
        </a:prstGeom>
      </xdr:spPr>
    </xdr:pic>
    <xdr:clientData/>
  </xdr:twoCellAnchor>
  <xdr:twoCellAnchor editAs="oneCell">
    <xdr:from>
      <xdr:col>52</xdr:col>
      <xdr:colOff>162051</xdr:colOff>
      <xdr:row>18</xdr:row>
      <xdr:rowOff>27692</xdr:rowOff>
    </xdr:from>
    <xdr:to>
      <xdr:col>56</xdr:col>
      <xdr:colOff>205346</xdr:colOff>
      <xdr:row>21</xdr:row>
      <xdr:rowOff>23651</xdr:rowOff>
    </xdr:to>
    <xdr:pic>
      <xdr:nvPicPr>
        <xdr:cNvPr id="5" name="4 Imagen"/>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8934960" y="6054419"/>
          <a:ext cx="1428749" cy="1260186"/>
        </a:xfrm>
        <a:prstGeom prst="rect">
          <a:avLst/>
        </a:prstGeom>
      </xdr:spPr>
    </xdr:pic>
    <xdr:clientData/>
  </xdr:twoCellAnchor>
  <xdr:twoCellAnchor editAs="oneCell">
    <xdr:from>
      <xdr:col>46</xdr:col>
      <xdr:colOff>189057</xdr:colOff>
      <xdr:row>1</xdr:row>
      <xdr:rowOff>300269</xdr:rowOff>
    </xdr:from>
    <xdr:to>
      <xdr:col>55</xdr:col>
      <xdr:colOff>92820</xdr:colOff>
      <xdr:row>11</xdr:row>
      <xdr:rowOff>212695</xdr:rowOff>
    </xdr:to>
    <xdr:pic>
      <xdr:nvPicPr>
        <xdr:cNvPr id="6" name="5 Imagen"/>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6857807" y="490769"/>
          <a:ext cx="3047013" cy="3611301"/>
        </a:xfrm>
        <a:prstGeom prst="rect">
          <a:avLst/>
        </a:prstGeom>
      </xdr:spPr>
    </xdr:pic>
    <xdr:clientData/>
  </xdr:twoCellAnchor>
  <xdr:twoCellAnchor editAs="oneCell">
    <xdr:from>
      <xdr:col>44</xdr:col>
      <xdr:colOff>111125</xdr:colOff>
      <xdr:row>18</xdr:row>
      <xdr:rowOff>0</xdr:rowOff>
    </xdr:from>
    <xdr:to>
      <xdr:col>52</xdr:col>
      <xdr:colOff>11339</xdr:colOff>
      <xdr:row>20</xdr:row>
      <xdr:rowOff>149755</xdr:rowOff>
    </xdr:to>
    <xdr:pic>
      <xdr:nvPicPr>
        <xdr:cNvPr id="7" name="6 Imagen"/>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16081375" y="6334125"/>
          <a:ext cx="2694215" cy="1070505"/>
        </a:xfrm>
        <a:prstGeom prst="rect">
          <a:avLst/>
        </a:prstGeom>
      </xdr:spPr>
    </xdr:pic>
    <xdr:clientData/>
  </xdr:twoCellAnchor>
  <xdr:twoCellAnchor editAs="oneCell">
    <xdr:from>
      <xdr:col>24</xdr:col>
      <xdr:colOff>317500</xdr:colOff>
      <xdr:row>18</xdr:row>
      <xdr:rowOff>63500</xdr:rowOff>
    </xdr:from>
    <xdr:to>
      <xdr:col>28</xdr:col>
      <xdr:colOff>573328</xdr:colOff>
      <xdr:row>20</xdr:row>
      <xdr:rowOff>198382</xdr:rowOff>
    </xdr:to>
    <xdr:pic>
      <xdr:nvPicPr>
        <xdr:cNvPr id="8" name="7 Imagen"/>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8509000" y="6397625"/>
          <a:ext cx="3303827" cy="1055632"/>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absoluteAnchor>
    <xdr:pos x="0" y="0"/>
    <xdr:ext cx="8678333" cy="6291204"/>
    <xdr:graphicFrame macro="">
      <xdr:nvGraphicFramePr>
        <xdr:cNvPr id="2" name="1 Gráfico"/>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autoPageBreaks="0"/>
  </sheetPr>
  <dimension ref="A1:BK367"/>
  <sheetViews>
    <sheetView showGridLines="0" tabSelected="1" topLeftCell="A4" zoomScale="64" zoomScaleNormal="70" zoomScalePageLayoutView="70" workbookViewId="0">
      <selection activeCell="F7" sqref="F7:G7"/>
    </sheetView>
  </sheetViews>
  <sheetFormatPr baseColWidth="10" defaultColWidth="10.85546875" defaultRowHeight="15" x14ac:dyDescent="0.25"/>
  <cols>
    <col min="1" max="1" width="2.85546875" style="1" customWidth="1"/>
    <col min="2" max="2" width="15.28515625" style="1" customWidth="1"/>
    <col min="3" max="4" width="14.28515625" style="1" customWidth="1"/>
    <col min="5" max="6" width="10.85546875" style="1"/>
    <col min="7" max="7" width="21.85546875" style="1" customWidth="1"/>
    <col min="8" max="12" width="0.7109375" style="8" customWidth="1"/>
    <col min="13" max="13" width="0.7109375" style="212" customWidth="1"/>
    <col min="14" max="14" width="21.85546875" style="1" customWidth="1"/>
    <col min="15" max="16" width="10.85546875" style="1"/>
    <col min="17" max="17" width="1.140625" style="1" customWidth="1"/>
    <col min="18" max="20" width="10.85546875" style="1"/>
    <col min="21" max="21" width="1.28515625" style="1" customWidth="1"/>
    <col min="22" max="22" width="2.28515625" style="1" customWidth="1"/>
    <col min="23" max="35" width="10.85546875" style="1"/>
    <col min="36" max="36" width="11.28515625" style="1" customWidth="1"/>
    <col min="37" max="37" width="5.140625" style="1" hidden="1" customWidth="1"/>
    <col min="38" max="40" width="11.28515625" style="33" hidden="1" customWidth="1"/>
    <col min="41" max="42" width="11.28515625" style="1" hidden="1" customWidth="1"/>
    <col min="43" max="43" width="2" style="1" customWidth="1"/>
    <col min="44" max="44" width="10.85546875" style="1"/>
    <col min="45" max="60" width="5.140625" style="1" customWidth="1"/>
    <col min="61" max="16384" width="10.85546875" style="1"/>
  </cols>
  <sheetData>
    <row r="1" spans="1:63" ht="15" customHeight="1" x14ac:dyDescent="0.25">
      <c r="A1" s="9"/>
      <c r="B1" s="9"/>
      <c r="C1" s="9"/>
      <c r="D1" s="9"/>
      <c r="E1" s="9"/>
      <c r="F1" s="9"/>
      <c r="G1" s="9"/>
      <c r="H1" s="209"/>
      <c r="I1" s="209"/>
      <c r="J1" s="209"/>
      <c r="K1" s="209"/>
      <c r="L1" s="209"/>
      <c r="M1" s="209"/>
      <c r="N1" s="9"/>
      <c r="O1" s="9"/>
      <c r="P1" s="9"/>
      <c r="Q1" s="9"/>
      <c r="R1" s="9"/>
      <c r="S1" s="9"/>
      <c r="T1" s="9"/>
      <c r="U1" s="9"/>
      <c r="V1" s="9"/>
      <c r="W1" s="9"/>
      <c r="X1" s="9"/>
      <c r="Y1" s="9"/>
      <c r="Z1" s="9"/>
      <c r="AA1" s="9"/>
      <c r="AB1" s="9"/>
      <c r="AC1" s="9"/>
      <c r="AD1" s="9"/>
      <c r="AE1" s="9"/>
      <c r="AF1" s="9"/>
      <c r="AG1" s="9"/>
      <c r="AH1" s="9"/>
      <c r="AI1" s="9"/>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row>
    <row r="2" spans="1:63" ht="36.75" customHeight="1" x14ac:dyDescent="0.25">
      <c r="A2" s="9"/>
      <c r="B2" s="317" t="s">
        <v>152</v>
      </c>
      <c r="C2" s="318"/>
      <c r="D2" s="318"/>
      <c r="E2" s="318"/>
      <c r="F2" s="318"/>
      <c r="G2" s="318"/>
      <c r="H2" s="318"/>
      <c r="I2" s="318"/>
      <c r="J2" s="318"/>
      <c r="K2" s="318"/>
      <c r="L2" s="318"/>
      <c r="M2" s="318"/>
      <c r="N2" s="318"/>
      <c r="O2" s="319"/>
      <c r="P2" s="9"/>
      <c r="Q2" s="281" t="s">
        <v>40</v>
      </c>
      <c r="R2" s="281"/>
      <c r="S2" s="281"/>
      <c r="T2" s="281"/>
      <c r="U2" s="281"/>
      <c r="V2" s="281"/>
      <c r="W2" s="281"/>
      <c r="X2" s="281"/>
      <c r="Y2" s="281"/>
      <c r="Z2" s="281"/>
      <c r="AA2" s="25"/>
      <c r="AB2" s="25"/>
      <c r="AC2" s="25"/>
      <c r="AD2" s="25"/>
      <c r="AE2" s="25"/>
      <c r="AF2" s="25"/>
      <c r="AG2" s="25"/>
      <c r="AH2" s="25"/>
      <c r="AI2" s="25"/>
      <c r="AJ2" s="9"/>
      <c r="AK2" s="31"/>
      <c r="AL2" s="9"/>
      <c r="AM2" s="9"/>
      <c r="AN2" s="9"/>
      <c r="AO2" s="9"/>
      <c r="AP2" s="9"/>
      <c r="AQ2" s="9"/>
      <c r="AR2" s="9"/>
      <c r="AS2" s="9"/>
      <c r="AT2" s="9"/>
      <c r="AU2" s="9"/>
      <c r="AV2" s="9"/>
      <c r="AW2" s="9"/>
      <c r="AX2" s="9"/>
      <c r="AY2" s="9"/>
      <c r="AZ2" s="9"/>
      <c r="BA2" s="9"/>
      <c r="BB2" s="9"/>
      <c r="BC2" s="9"/>
      <c r="BD2" s="9"/>
      <c r="BE2" s="9"/>
      <c r="BF2" s="9"/>
      <c r="BG2" s="9"/>
      <c r="BH2" s="9"/>
      <c r="BI2" s="9"/>
      <c r="BJ2" s="9"/>
      <c r="BK2" s="9"/>
    </row>
    <row r="3" spans="1:63" x14ac:dyDescent="0.25">
      <c r="A3" s="9"/>
      <c r="B3" s="9"/>
      <c r="C3" s="9"/>
      <c r="D3" s="9"/>
      <c r="E3" s="9"/>
      <c r="F3" s="9"/>
      <c r="G3" s="9"/>
      <c r="H3" s="209"/>
      <c r="I3" s="209"/>
      <c r="J3" s="209"/>
      <c r="K3" s="209"/>
      <c r="L3" s="209"/>
      <c r="M3" s="209"/>
      <c r="N3" s="9"/>
      <c r="O3" s="9"/>
      <c r="P3" s="9"/>
      <c r="Q3" s="9"/>
      <c r="R3" s="321" t="s">
        <v>117</v>
      </c>
      <c r="S3" s="321"/>
      <c r="T3" s="321"/>
      <c r="U3" s="321"/>
      <c r="V3" s="321"/>
      <c r="W3" s="321"/>
      <c r="X3" s="321"/>
      <c r="Y3" s="321"/>
      <c r="Z3" s="9"/>
      <c r="AA3" s="9"/>
      <c r="AB3" s="9"/>
      <c r="AC3" s="9"/>
      <c r="AD3" s="9"/>
      <c r="AE3" s="9"/>
      <c r="AF3" s="9"/>
      <c r="AG3" s="9"/>
      <c r="AH3" s="9"/>
      <c r="AI3" s="9"/>
      <c r="AJ3" s="9"/>
      <c r="AK3" s="31"/>
      <c r="AL3" s="9"/>
      <c r="AM3" s="9"/>
      <c r="AN3" s="9"/>
      <c r="AO3" s="9"/>
      <c r="AP3" s="9"/>
      <c r="AQ3" s="9"/>
      <c r="AR3" s="9"/>
      <c r="AS3" s="9"/>
      <c r="AT3" s="9"/>
      <c r="AU3" s="9"/>
      <c r="AV3" s="9"/>
      <c r="AW3" s="9"/>
      <c r="AX3" s="9"/>
      <c r="AY3" s="9"/>
      <c r="AZ3" s="9"/>
      <c r="BA3" s="9"/>
      <c r="BB3" s="9"/>
      <c r="BC3" s="9"/>
      <c r="BD3" s="9"/>
      <c r="BE3" s="9"/>
      <c r="BF3" s="9"/>
      <c r="BG3" s="9"/>
      <c r="BH3" s="9"/>
      <c r="BI3" s="9"/>
      <c r="BJ3" s="9"/>
      <c r="BK3" s="9"/>
    </row>
    <row r="4" spans="1:63" ht="30" customHeight="1" x14ac:dyDescent="0.25">
      <c r="A4" s="9"/>
      <c r="B4" s="231" t="s">
        <v>72</v>
      </c>
      <c r="C4" s="232"/>
      <c r="D4" s="217" t="s">
        <v>158</v>
      </c>
      <c r="E4" s="248"/>
      <c r="F4" s="248"/>
      <c r="G4" s="218"/>
      <c r="H4" s="209"/>
      <c r="I4" s="209"/>
      <c r="J4" s="209"/>
      <c r="K4" s="209"/>
      <c r="L4" s="209"/>
      <c r="M4" s="209"/>
      <c r="N4" s="9"/>
      <c r="O4" s="9"/>
      <c r="P4" s="9"/>
      <c r="Q4" s="9"/>
      <c r="R4" s="9"/>
      <c r="S4" s="9"/>
      <c r="T4" s="9"/>
      <c r="U4" s="9"/>
      <c r="V4" s="9"/>
      <c r="W4" s="9"/>
      <c r="X4" s="9"/>
      <c r="Y4" s="9"/>
      <c r="Z4" s="9"/>
      <c r="AA4" s="9"/>
      <c r="AB4" s="9"/>
      <c r="AC4" s="9"/>
      <c r="AD4" s="9"/>
      <c r="AE4" s="9"/>
      <c r="AF4" s="9"/>
      <c r="AG4" s="9"/>
      <c r="AH4" s="9"/>
      <c r="AI4" s="9"/>
      <c r="AJ4" s="9"/>
      <c r="AK4" s="90"/>
      <c r="AL4" s="9"/>
      <c r="AM4" s="9"/>
      <c r="AN4" s="9"/>
      <c r="AO4" s="9"/>
      <c r="AP4" s="9"/>
      <c r="AQ4" s="9"/>
      <c r="AR4" s="9"/>
      <c r="AS4" s="9"/>
      <c r="AT4" s="9"/>
      <c r="AU4" s="9"/>
      <c r="AV4" s="9"/>
      <c r="AW4" s="9"/>
      <c r="AX4" s="9"/>
      <c r="AY4" s="9"/>
      <c r="AZ4" s="9"/>
      <c r="BA4" s="9"/>
      <c r="BB4" s="9"/>
      <c r="BC4" s="9"/>
      <c r="BD4" s="9"/>
      <c r="BE4" s="9"/>
      <c r="BF4" s="9"/>
      <c r="BG4" s="9"/>
      <c r="BH4" s="9"/>
      <c r="BI4" s="9"/>
      <c r="BJ4" s="9"/>
      <c r="BK4" s="9"/>
    </row>
    <row r="5" spans="1:63" ht="30" customHeight="1" x14ac:dyDescent="0.25">
      <c r="A5" s="9"/>
      <c r="B5" s="231" t="s">
        <v>26</v>
      </c>
      <c r="C5" s="232"/>
      <c r="D5" s="217" t="s">
        <v>157</v>
      </c>
      <c r="E5" s="248"/>
      <c r="F5" s="248"/>
      <c r="G5" s="218"/>
      <c r="H5" s="209"/>
      <c r="I5" s="209"/>
      <c r="J5" s="209"/>
      <c r="K5" s="209"/>
      <c r="L5" s="209"/>
      <c r="M5" s="209"/>
      <c r="N5" s="249" t="s">
        <v>32</v>
      </c>
      <c r="O5" s="250"/>
      <c r="P5" s="251"/>
      <c r="Q5" s="21"/>
      <c r="R5" s="322" t="s">
        <v>34</v>
      </c>
      <c r="S5" s="322"/>
      <c r="T5" s="322"/>
      <c r="U5" s="9"/>
      <c r="V5" s="9"/>
      <c r="W5" s="91" t="s">
        <v>46</v>
      </c>
      <c r="X5" s="91" t="s">
        <v>69</v>
      </c>
      <c r="Y5" s="9"/>
      <c r="Z5" s="9"/>
      <c r="AA5" s="9"/>
      <c r="AB5" s="9"/>
      <c r="AC5" s="9"/>
      <c r="AD5" s="9"/>
      <c r="AE5" s="9"/>
      <c r="AF5" s="9"/>
      <c r="AG5" s="9"/>
      <c r="AH5" s="9"/>
      <c r="AI5" s="9"/>
      <c r="AJ5" s="9"/>
      <c r="AK5" s="31"/>
      <c r="AL5" s="9"/>
      <c r="AM5" s="9"/>
      <c r="AN5" s="9"/>
      <c r="AO5" s="9"/>
      <c r="AP5" s="9"/>
      <c r="AQ5" s="9"/>
      <c r="AR5" s="9"/>
      <c r="AS5" s="9"/>
      <c r="AT5" s="9"/>
      <c r="AU5" s="9"/>
      <c r="AV5" s="9"/>
      <c r="AW5" s="9"/>
      <c r="AX5" s="9"/>
      <c r="AY5" s="9"/>
      <c r="AZ5" s="9"/>
      <c r="BA5" s="9"/>
      <c r="BB5" s="9"/>
      <c r="BC5" s="9"/>
      <c r="BD5" s="9"/>
      <c r="BE5" s="9"/>
      <c r="BF5" s="9"/>
      <c r="BG5" s="9"/>
      <c r="BH5" s="9"/>
      <c r="BI5" s="9"/>
      <c r="BJ5" s="9"/>
      <c r="BK5" s="9"/>
    </row>
    <row r="6" spans="1:63" ht="30" customHeight="1" x14ac:dyDescent="0.25">
      <c r="A6" s="9"/>
      <c r="B6" s="231" t="s">
        <v>107</v>
      </c>
      <c r="C6" s="232"/>
      <c r="D6" s="217" t="s">
        <v>156</v>
      </c>
      <c r="E6" s="248"/>
      <c r="F6" s="248"/>
      <c r="G6" s="218"/>
      <c r="H6" s="209"/>
      <c r="I6" s="209"/>
      <c r="J6" s="209"/>
      <c r="K6" s="209"/>
      <c r="L6" s="209"/>
      <c r="M6" s="209"/>
      <c r="N6" s="252"/>
      <c r="O6" s="253"/>
      <c r="P6" s="254"/>
      <c r="Q6" s="21"/>
      <c r="R6" s="322"/>
      <c r="S6" s="322"/>
      <c r="T6" s="322"/>
      <c r="U6" s="9"/>
      <c r="V6" s="9"/>
      <c r="W6" s="91" t="s">
        <v>109</v>
      </c>
      <c r="X6" s="91" t="s">
        <v>70</v>
      </c>
      <c r="Y6" s="9"/>
      <c r="Z6" s="9"/>
      <c r="AA6" s="9"/>
      <c r="AB6" s="9"/>
      <c r="AC6" s="9"/>
      <c r="AD6" s="9"/>
      <c r="AE6" s="9"/>
      <c r="AF6" s="9"/>
      <c r="AG6" s="9"/>
      <c r="AH6" s="9"/>
      <c r="AI6" s="9"/>
      <c r="AJ6" s="9"/>
      <c r="AK6" s="93"/>
      <c r="AL6" s="9"/>
      <c r="AM6" s="9"/>
      <c r="AN6" s="9"/>
      <c r="AO6" s="9"/>
      <c r="AP6" s="9"/>
      <c r="AQ6" s="9"/>
      <c r="AR6" s="9"/>
      <c r="AS6" s="9"/>
      <c r="AT6" s="9"/>
      <c r="AU6" s="9"/>
      <c r="AV6" s="9"/>
      <c r="AW6" s="9"/>
      <c r="AX6" s="9"/>
      <c r="AY6" s="9"/>
      <c r="AZ6" s="9"/>
      <c r="BA6" s="9"/>
      <c r="BB6" s="9"/>
      <c r="BC6" s="9"/>
      <c r="BD6" s="9"/>
      <c r="BE6" s="9"/>
      <c r="BF6" s="9"/>
      <c r="BG6" s="9"/>
      <c r="BH6" s="9"/>
      <c r="BI6" s="9"/>
      <c r="BJ6" s="9"/>
      <c r="BK6" s="9"/>
    </row>
    <row r="7" spans="1:63" ht="30" customHeight="1" x14ac:dyDescent="0.25">
      <c r="A7" s="9"/>
      <c r="B7" s="231" t="s">
        <v>108</v>
      </c>
      <c r="C7" s="232"/>
      <c r="D7" s="258">
        <v>1.2</v>
      </c>
      <c r="E7" s="259"/>
      <c r="F7" s="258" t="s">
        <v>161</v>
      </c>
      <c r="G7" s="259"/>
      <c r="H7" s="209"/>
      <c r="I7" s="209"/>
      <c r="J7" s="209"/>
      <c r="K7" s="209"/>
      <c r="L7" s="209"/>
      <c r="M7" s="209"/>
      <c r="N7" s="252"/>
      <c r="O7" s="253"/>
      <c r="P7" s="254"/>
      <c r="Q7" s="21"/>
      <c r="R7" s="322"/>
      <c r="S7" s="322"/>
      <c r="T7" s="322"/>
      <c r="U7" s="9"/>
      <c r="V7" s="9"/>
      <c r="W7" s="91" t="s">
        <v>161</v>
      </c>
      <c r="X7" s="91" t="s">
        <v>68</v>
      </c>
      <c r="Y7" s="9"/>
      <c r="Z7" s="9"/>
      <c r="AA7" s="9"/>
      <c r="AB7" s="9"/>
      <c r="AC7" s="9"/>
      <c r="AD7" s="9"/>
      <c r="AE7" s="9"/>
      <c r="AF7" s="9"/>
      <c r="AG7" s="9"/>
      <c r="AH7" s="9"/>
      <c r="AI7" s="9"/>
      <c r="AJ7" s="9"/>
      <c r="AK7" s="93"/>
      <c r="AL7" s="9"/>
      <c r="AM7" s="9"/>
      <c r="AN7" s="9"/>
      <c r="AO7" s="9"/>
      <c r="AP7" s="9"/>
      <c r="AQ7" s="9"/>
      <c r="AR7" s="9"/>
      <c r="AS7" s="9"/>
      <c r="AT7" s="9"/>
      <c r="AU7" s="9"/>
      <c r="AV7" s="9"/>
      <c r="AW7" s="9"/>
      <c r="AX7" s="9"/>
      <c r="AY7" s="9"/>
      <c r="AZ7" s="9"/>
      <c r="BA7" s="9"/>
      <c r="BB7" s="9"/>
      <c r="BC7" s="9"/>
      <c r="BD7" s="9"/>
      <c r="BE7" s="9"/>
      <c r="BF7" s="9"/>
      <c r="BG7" s="9"/>
      <c r="BH7" s="9"/>
      <c r="BI7" s="9"/>
      <c r="BJ7" s="9"/>
      <c r="BK7" s="9"/>
    </row>
    <row r="8" spans="1:63" ht="30" customHeight="1" x14ac:dyDescent="0.25">
      <c r="A8" s="9"/>
      <c r="B8" s="231" t="s">
        <v>27</v>
      </c>
      <c r="C8" s="232"/>
      <c r="D8" s="320">
        <v>42718</v>
      </c>
      <c r="E8" s="248"/>
      <c r="F8" s="248"/>
      <c r="G8" s="218"/>
      <c r="H8" s="209"/>
      <c r="I8" s="209"/>
      <c r="J8" s="209"/>
      <c r="K8" s="209"/>
      <c r="L8" s="209"/>
      <c r="M8" s="209"/>
      <c r="N8" s="252"/>
      <c r="O8" s="253"/>
      <c r="P8" s="254"/>
      <c r="Q8" s="21"/>
      <c r="R8" s="322" t="s">
        <v>118</v>
      </c>
      <c r="S8" s="322"/>
      <c r="T8" s="322"/>
      <c r="U8" s="9"/>
      <c r="V8" s="9"/>
      <c r="W8" s="9"/>
      <c r="Y8" s="9"/>
      <c r="Z8" s="9"/>
      <c r="AA8" s="9"/>
      <c r="AB8" s="9"/>
      <c r="AC8" s="9"/>
      <c r="AD8" s="9"/>
      <c r="AE8" s="9"/>
      <c r="AF8" s="9"/>
      <c r="AG8" s="9"/>
      <c r="AH8" s="9"/>
      <c r="AI8" s="9"/>
      <c r="AJ8" s="9"/>
      <c r="AK8" s="31"/>
      <c r="AL8" s="9"/>
      <c r="AM8" s="9"/>
      <c r="AN8" s="9"/>
      <c r="AO8" s="9"/>
      <c r="AP8" s="9"/>
      <c r="AQ8" s="9"/>
      <c r="AR8" s="9"/>
      <c r="AS8" s="9"/>
      <c r="AT8" s="9"/>
      <c r="AU8" s="9"/>
      <c r="AV8" s="9"/>
      <c r="AW8" s="9"/>
      <c r="AX8" s="9"/>
      <c r="AY8" s="9"/>
      <c r="AZ8" s="9"/>
      <c r="BA8" s="9"/>
      <c r="BB8" s="9"/>
      <c r="BC8" s="9"/>
      <c r="BD8" s="9"/>
      <c r="BE8" s="9"/>
      <c r="BF8" s="9"/>
      <c r="BG8" s="9"/>
      <c r="BH8" s="9"/>
      <c r="BI8" s="9"/>
      <c r="BJ8" s="9"/>
      <c r="BK8" s="9"/>
    </row>
    <row r="9" spans="1:63" ht="30" customHeight="1" x14ac:dyDescent="0.25">
      <c r="A9" s="9"/>
      <c r="B9" s="231" t="s">
        <v>59</v>
      </c>
      <c r="C9" s="232"/>
      <c r="D9" s="233">
        <v>0.65694444444444444</v>
      </c>
      <c r="E9" s="248"/>
      <c r="F9" s="248"/>
      <c r="G9" s="218"/>
      <c r="H9" s="209"/>
      <c r="I9" s="209"/>
      <c r="J9" s="209"/>
      <c r="K9" s="209"/>
      <c r="L9" s="209"/>
      <c r="M9" s="209"/>
      <c r="N9" s="252"/>
      <c r="O9" s="253"/>
      <c r="P9" s="254"/>
      <c r="Q9" s="21"/>
      <c r="R9" s="322"/>
      <c r="S9" s="322"/>
      <c r="T9" s="322"/>
      <c r="U9" s="9"/>
      <c r="V9" s="9"/>
      <c r="W9" s="9"/>
      <c r="Y9" s="9"/>
      <c r="Z9" s="9"/>
      <c r="AA9" s="9"/>
      <c r="AB9" s="9"/>
      <c r="AC9" s="9"/>
      <c r="AD9" s="9"/>
      <c r="AE9" s="9"/>
      <c r="AF9" s="9"/>
      <c r="AG9" s="9"/>
      <c r="AH9" s="9"/>
      <c r="AI9" s="9"/>
      <c r="AJ9" s="9"/>
      <c r="AK9" s="31"/>
      <c r="AL9" s="9"/>
      <c r="AM9" s="9"/>
      <c r="AN9" s="9"/>
      <c r="AO9" s="9"/>
      <c r="AP9" s="9"/>
      <c r="AQ9" s="9"/>
      <c r="AR9" s="9"/>
      <c r="AS9" s="9"/>
      <c r="AT9" s="9"/>
      <c r="AU9" s="9"/>
      <c r="AV9" s="9"/>
      <c r="AW9" s="9"/>
      <c r="AX9" s="9"/>
      <c r="AY9" s="9"/>
      <c r="AZ9" s="9"/>
      <c r="BA9" s="9"/>
      <c r="BB9" s="9"/>
      <c r="BC9" s="9"/>
      <c r="BD9" s="9"/>
      <c r="BE9" s="9"/>
      <c r="BF9" s="9"/>
      <c r="BG9" s="9"/>
      <c r="BH9" s="9"/>
      <c r="BI9" s="9"/>
      <c r="BJ9" s="9"/>
      <c r="BK9" s="9"/>
    </row>
    <row r="10" spans="1:63" ht="30" customHeight="1" x14ac:dyDescent="0.25">
      <c r="A10" s="9"/>
      <c r="B10" s="231" t="s">
        <v>60</v>
      </c>
      <c r="C10" s="232"/>
      <c r="D10" s="233">
        <v>0.68472222222222223</v>
      </c>
      <c r="E10" s="234"/>
      <c r="F10" s="234"/>
      <c r="G10" s="235"/>
      <c r="H10" s="209"/>
      <c r="I10" s="209"/>
      <c r="J10" s="209"/>
      <c r="K10" s="209"/>
      <c r="L10" s="209"/>
      <c r="M10" s="209"/>
      <c r="N10" s="255"/>
      <c r="O10" s="256"/>
      <c r="P10" s="257"/>
      <c r="Q10" s="21"/>
      <c r="R10" s="322"/>
      <c r="S10" s="322"/>
      <c r="T10" s="322"/>
      <c r="U10" s="9"/>
      <c r="V10" s="9"/>
      <c r="W10" s="9"/>
      <c r="X10" s="9"/>
      <c r="Y10" s="9"/>
      <c r="Z10" s="9"/>
      <c r="AA10" s="9"/>
      <c r="AB10" s="9"/>
      <c r="AC10" s="9"/>
      <c r="AD10" s="9"/>
      <c r="AE10" s="9"/>
      <c r="AF10" s="9"/>
      <c r="AG10" s="9"/>
      <c r="AH10" s="9"/>
      <c r="AI10" s="9"/>
      <c r="AJ10" s="9"/>
      <c r="AK10" s="76"/>
      <c r="AL10" s="9"/>
      <c r="AM10" s="9"/>
      <c r="AN10" s="9"/>
      <c r="AO10" s="9"/>
      <c r="AP10" s="9"/>
      <c r="AQ10" s="9"/>
      <c r="AR10" s="9"/>
      <c r="AS10" s="9"/>
      <c r="AT10" s="9"/>
      <c r="AU10" s="9"/>
      <c r="AV10" s="9"/>
      <c r="AW10" s="9"/>
      <c r="AX10" s="9"/>
      <c r="AY10" s="9"/>
      <c r="AZ10" s="9"/>
      <c r="BA10" s="9"/>
      <c r="BB10" s="9"/>
      <c r="BC10" s="9"/>
      <c r="BD10" s="9"/>
      <c r="BE10" s="9"/>
      <c r="BF10" s="9"/>
      <c r="BG10" s="9"/>
      <c r="BH10" s="9"/>
      <c r="BI10" s="9"/>
      <c r="BJ10" s="9"/>
      <c r="BK10" s="9"/>
    </row>
    <row r="11" spans="1:63" ht="30" customHeight="1" x14ac:dyDescent="0.25">
      <c r="A11" s="9"/>
      <c r="B11" s="231" t="s">
        <v>28</v>
      </c>
      <c r="C11" s="232"/>
      <c r="D11" s="217">
        <v>289635.81</v>
      </c>
      <c r="E11" s="248"/>
      <c r="F11" s="248"/>
      <c r="G11" s="218"/>
      <c r="H11" s="209"/>
      <c r="I11" s="209"/>
      <c r="J11" s="209"/>
      <c r="K11" s="209"/>
      <c r="L11" s="209"/>
      <c r="M11" s="209"/>
      <c r="N11" s="21"/>
      <c r="O11" s="21"/>
      <c r="P11" s="21"/>
      <c r="Q11" s="21"/>
      <c r="R11" s="21"/>
      <c r="S11" s="21"/>
      <c r="T11" s="21"/>
      <c r="U11" s="9"/>
      <c r="V11" s="9"/>
      <c r="W11" s="9"/>
      <c r="X11" s="9"/>
      <c r="Y11" s="9"/>
      <c r="Z11" s="9"/>
      <c r="AA11" s="9"/>
      <c r="AB11" s="9"/>
      <c r="AC11" s="9"/>
      <c r="AD11" s="9"/>
      <c r="AE11" s="9"/>
      <c r="AF11" s="9"/>
      <c r="AG11" s="9"/>
      <c r="AH11" s="9"/>
      <c r="AI11" s="9"/>
      <c r="AJ11" s="9"/>
      <c r="AK11" s="31"/>
      <c r="AL11" s="9"/>
      <c r="AM11" s="9"/>
      <c r="AN11" s="9"/>
      <c r="AO11" s="9"/>
      <c r="AP11" s="9"/>
      <c r="AQ11" s="9"/>
      <c r="AR11" s="9"/>
      <c r="AS11" s="9"/>
      <c r="AT11" s="9"/>
      <c r="AU11" s="9"/>
      <c r="AV11" s="9"/>
      <c r="AW11" s="9"/>
      <c r="AX11" s="9"/>
      <c r="AY11" s="9"/>
      <c r="AZ11" s="9"/>
      <c r="BA11" s="9"/>
      <c r="BB11" s="9"/>
      <c r="BC11" s="9"/>
      <c r="BD11" s="9"/>
      <c r="BE11" s="9"/>
      <c r="BF11" s="9"/>
      <c r="BG11" s="9"/>
      <c r="BH11" s="9"/>
      <c r="BI11" s="9"/>
      <c r="BJ11" s="9"/>
      <c r="BK11" s="9"/>
    </row>
    <row r="12" spans="1:63" ht="30" customHeight="1" x14ac:dyDescent="0.25">
      <c r="A12" s="9"/>
      <c r="B12" s="231" t="s">
        <v>29</v>
      </c>
      <c r="C12" s="232"/>
      <c r="D12" s="217">
        <v>6614419.0499999998</v>
      </c>
      <c r="E12" s="248"/>
      <c r="F12" s="248"/>
      <c r="G12" s="218"/>
      <c r="H12" s="209"/>
      <c r="I12" s="209"/>
      <c r="J12" s="209"/>
      <c r="K12" s="209"/>
      <c r="L12" s="209"/>
      <c r="M12" s="209"/>
      <c r="N12" s="239" t="s">
        <v>38</v>
      </c>
      <c r="O12" s="240"/>
      <c r="P12" s="240"/>
      <c r="Q12" s="240"/>
      <c r="R12" s="240"/>
      <c r="S12" s="240"/>
      <c r="T12" s="240"/>
      <c r="U12" s="240"/>
      <c r="V12" s="240"/>
      <c r="W12" s="240"/>
      <c r="X12" s="241"/>
      <c r="Y12" s="9"/>
      <c r="Z12" s="9"/>
      <c r="AA12" s="9"/>
      <c r="AB12" s="9"/>
      <c r="AC12" s="9"/>
      <c r="AD12" s="9"/>
      <c r="AE12" s="9"/>
      <c r="AF12" s="9"/>
      <c r="AG12" s="9"/>
      <c r="AH12" s="9"/>
      <c r="AI12" s="9"/>
      <c r="AJ12" s="9"/>
      <c r="AK12" s="31"/>
      <c r="AL12" s="9"/>
      <c r="AM12" s="9"/>
      <c r="AN12" s="9"/>
      <c r="AO12" s="9"/>
      <c r="AP12" s="9"/>
      <c r="AQ12" s="9"/>
      <c r="AR12" s="9"/>
      <c r="AS12" s="9"/>
      <c r="AT12" s="9"/>
      <c r="AU12" s="9"/>
      <c r="AV12" s="9"/>
      <c r="AW12" s="9"/>
      <c r="AX12" s="9"/>
      <c r="AY12" s="9"/>
      <c r="AZ12" s="9"/>
      <c r="BA12" s="9"/>
      <c r="BB12" s="9"/>
      <c r="BC12" s="9"/>
      <c r="BD12" s="9"/>
      <c r="BE12" s="9"/>
      <c r="BF12" s="9"/>
      <c r="BG12" s="9"/>
      <c r="BH12" s="9"/>
      <c r="BI12" s="9"/>
      <c r="BJ12" s="9"/>
      <c r="BK12" s="9"/>
    </row>
    <row r="13" spans="1:63" ht="30" customHeight="1" x14ac:dyDescent="0.25">
      <c r="A13" s="9"/>
      <c r="B13" s="231" t="s">
        <v>106</v>
      </c>
      <c r="C13" s="232"/>
      <c r="D13" s="217" t="s">
        <v>155</v>
      </c>
      <c r="E13" s="248"/>
      <c r="F13" s="248"/>
      <c r="G13" s="218"/>
      <c r="H13" s="209"/>
      <c r="I13" s="209"/>
      <c r="J13" s="209"/>
      <c r="K13" s="209"/>
      <c r="L13" s="209"/>
      <c r="M13" s="209"/>
      <c r="N13" s="242"/>
      <c r="O13" s="243"/>
      <c r="P13" s="243"/>
      <c r="Q13" s="243"/>
      <c r="R13" s="243"/>
      <c r="S13" s="243"/>
      <c r="T13" s="243"/>
      <c r="U13" s="243"/>
      <c r="V13" s="243"/>
      <c r="W13" s="243"/>
      <c r="X13" s="244"/>
      <c r="Y13" s="9"/>
      <c r="Z13" s="9"/>
      <c r="AA13" s="9"/>
      <c r="AB13" s="9"/>
      <c r="AC13" s="9"/>
      <c r="AD13" s="9"/>
      <c r="AE13" s="9"/>
      <c r="AF13" s="9"/>
      <c r="AG13" s="9"/>
      <c r="AH13" s="9"/>
      <c r="AI13" s="9"/>
      <c r="AJ13" s="9"/>
      <c r="AK13" s="93"/>
      <c r="AL13" s="9"/>
      <c r="AM13" s="9"/>
      <c r="AN13" s="9"/>
      <c r="AO13" s="9"/>
      <c r="AP13" s="9"/>
      <c r="AQ13" s="9"/>
      <c r="AR13" s="9"/>
      <c r="AS13" s="9"/>
      <c r="AT13" s="9"/>
      <c r="AU13" s="9"/>
      <c r="AV13" s="9"/>
      <c r="AW13" s="9"/>
      <c r="AX13" s="9"/>
      <c r="AY13" s="9"/>
      <c r="AZ13" s="9"/>
      <c r="BA13" s="9"/>
      <c r="BB13" s="9"/>
      <c r="BC13" s="9"/>
      <c r="BD13" s="9"/>
      <c r="BE13" s="9"/>
      <c r="BF13" s="9"/>
      <c r="BG13" s="9"/>
      <c r="BH13" s="9"/>
      <c r="BI13" s="9"/>
      <c r="BJ13" s="9"/>
      <c r="BK13" s="9"/>
    </row>
    <row r="14" spans="1:63" ht="30" customHeight="1" x14ac:dyDescent="0.25">
      <c r="A14" s="9"/>
      <c r="B14" s="307" t="s">
        <v>30</v>
      </c>
      <c r="C14" s="308"/>
      <c r="D14" s="260" t="s">
        <v>159</v>
      </c>
      <c r="E14" s="261"/>
      <c r="F14" s="261"/>
      <c r="G14" s="262"/>
      <c r="H14" s="209"/>
      <c r="I14" s="209"/>
      <c r="J14" s="209"/>
      <c r="K14" s="209"/>
      <c r="L14" s="209"/>
      <c r="M14" s="209"/>
      <c r="N14" s="242"/>
      <c r="O14" s="243"/>
      <c r="P14" s="243"/>
      <c r="Q14" s="243"/>
      <c r="R14" s="243"/>
      <c r="S14" s="243"/>
      <c r="T14" s="243"/>
      <c r="U14" s="243"/>
      <c r="V14" s="243"/>
      <c r="W14" s="243"/>
      <c r="X14" s="244"/>
      <c r="Y14" s="9"/>
      <c r="Z14" s="9"/>
      <c r="AA14" s="9"/>
      <c r="AB14" s="9"/>
      <c r="AC14" s="9"/>
      <c r="AD14" s="9"/>
      <c r="AE14" s="9"/>
      <c r="AF14" s="9"/>
      <c r="AG14" s="9"/>
      <c r="AH14" s="9"/>
      <c r="AI14" s="9"/>
      <c r="AJ14" s="9"/>
      <c r="AK14" s="31"/>
      <c r="AL14" s="9"/>
      <c r="AM14" s="9"/>
      <c r="AN14" s="9"/>
      <c r="AO14" s="9"/>
      <c r="AP14" s="9"/>
      <c r="AQ14" s="9"/>
      <c r="AR14" s="9"/>
      <c r="AS14" s="9"/>
      <c r="AT14" s="9"/>
      <c r="AU14" s="9"/>
      <c r="AV14" s="9"/>
      <c r="AW14" s="9"/>
      <c r="AX14" s="9"/>
      <c r="AY14" s="9"/>
      <c r="AZ14" s="9"/>
      <c r="BA14" s="9"/>
      <c r="BB14" s="9"/>
      <c r="BC14" s="9"/>
      <c r="BD14" s="9"/>
      <c r="BE14" s="9"/>
      <c r="BF14" s="9"/>
      <c r="BG14" s="9"/>
      <c r="BH14" s="9"/>
      <c r="BI14" s="9"/>
      <c r="BJ14" s="9"/>
      <c r="BK14" s="9"/>
    </row>
    <row r="15" spans="1:63" ht="30" customHeight="1" x14ac:dyDescent="0.25">
      <c r="A15" s="9"/>
      <c r="B15" s="226"/>
      <c r="C15" s="227"/>
      <c r="D15" s="228"/>
      <c r="E15" s="229"/>
      <c r="F15" s="229"/>
      <c r="G15" s="230"/>
      <c r="H15" s="209"/>
      <c r="I15" s="209"/>
      <c r="J15" s="209"/>
      <c r="K15" s="209"/>
      <c r="L15" s="209"/>
      <c r="M15" s="209"/>
      <c r="N15" s="242"/>
      <c r="O15" s="243"/>
      <c r="P15" s="243"/>
      <c r="Q15" s="243"/>
      <c r="R15" s="243"/>
      <c r="S15" s="243"/>
      <c r="T15" s="243"/>
      <c r="U15" s="243"/>
      <c r="V15" s="243"/>
      <c r="W15" s="243"/>
      <c r="X15" s="244"/>
      <c r="Y15" s="9"/>
      <c r="Z15" s="9"/>
      <c r="AA15" s="9"/>
      <c r="AB15" s="9"/>
      <c r="AC15" s="9"/>
      <c r="AD15" s="9"/>
      <c r="AE15" s="9"/>
      <c r="AF15" s="9"/>
      <c r="AG15" s="9"/>
      <c r="AH15" s="9"/>
      <c r="AK15" s="31"/>
      <c r="AL15" s="9"/>
      <c r="AM15" s="9"/>
      <c r="AN15" s="9"/>
      <c r="AO15" s="9"/>
      <c r="AP15" s="9"/>
      <c r="AQ15" s="9"/>
      <c r="AR15" s="9"/>
      <c r="AS15" s="9"/>
      <c r="AT15" s="9"/>
      <c r="AU15" s="9"/>
      <c r="AV15" s="9"/>
      <c r="AW15" s="9"/>
      <c r="AX15" s="9"/>
      <c r="AY15" s="9"/>
      <c r="AZ15" s="9"/>
      <c r="BA15" s="9"/>
      <c r="BB15" s="9"/>
      <c r="BC15" s="9"/>
      <c r="BD15" s="9"/>
      <c r="BE15" s="9"/>
      <c r="BF15" s="9"/>
      <c r="BG15" s="9"/>
      <c r="BH15" s="9"/>
      <c r="BI15" s="9"/>
      <c r="BJ15" s="9"/>
      <c r="BK15" s="9"/>
    </row>
    <row r="16" spans="1:63" ht="30" customHeight="1" x14ac:dyDescent="0.25">
      <c r="A16" s="9"/>
      <c r="B16" s="226" t="s">
        <v>67</v>
      </c>
      <c r="C16" s="227"/>
      <c r="D16" s="228" t="s">
        <v>70</v>
      </c>
      <c r="E16" s="229"/>
      <c r="F16" s="229"/>
      <c r="G16" s="230"/>
      <c r="H16" s="209"/>
      <c r="I16" s="209"/>
      <c r="J16" s="209"/>
      <c r="K16" s="209"/>
      <c r="L16" s="209"/>
      <c r="M16" s="209"/>
      <c r="N16" s="242"/>
      <c r="O16" s="243"/>
      <c r="P16" s="243"/>
      <c r="Q16" s="243"/>
      <c r="R16" s="243"/>
      <c r="S16" s="243"/>
      <c r="T16" s="243"/>
      <c r="U16" s="243"/>
      <c r="V16" s="243"/>
      <c r="W16" s="243"/>
      <c r="X16" s="244"/>
      <c r="Y16" s="9"/>
      <c r="Z16" s="9"/>
      <c r="AA16" s="9"/>
      <c r="AB16" s="323" t="s">
        <v>65</v>
      </c>
      <c r="AC16" s="323"/>
      <c r="AD16" s="323"/>
      <c r="AE16" s="323"/>
      <c r="AF16" s="323"/>
      <c r="AG16" s="9"/>
      <c r="AH16" s="9"/>
      <c r="AI16" s="9"/>
      <c r="AJ16" s="9"/>
      <c r="AK16" s="31"/>
      <c r="AL16" s="9"/>
      <c r="AM16" s="9"/>
      <c r="AN16" s="9"/>
      <c r="AO16" s="9"/>
      <c r="AP16" s="9"/>
      <c r="AQ16" s="9"/>
      <c r="AR16" s="9"/>
      <c r="AS16" s="9"/>
      <c r="AT16" s="9"/>
      <c r="AU16" s="9"/>
      <c r="AV16" s="9"/>
      <c r="AW16" s="9"/>
      <c r="AX16" s="9"/>
      <c r="AY16" s="9"/>
      <c r="AZ16" s="9"/>
      <c r="BA16" s="9"/>
      <c r="BB16" s="9"/>
      <c r="BC16" s="9"/>
      <c r="BD16" s="9"/>
      <c r="BE16" s="9"/>
      <c r="BF16" s="9"/>
      <c r="BG16" s="9"/>
      <c r="BH16" s="9"/>
      <c r="BI16" s="9"/>
      <c r="BJ16" s="9"/>
      <c r="BK16" s="9"/>
    </row>
    <row r="17" spans="1:63" ht="30" customHeight="1" x14ac:dyDescent="0.25">
      <c r="A17" s="9"/>
      <c r="B17" s="231" t="s">
        <v>64</v>
      </c>
      <c r="C17" s="232"/>
      <c r="D17" s="236"/>
      <c r="E17" s="237"/>
      <c r="F17" s="237"/>
      <c r="G17" s="238"/>
      <c r="H17" s="209"/>
      <c r="I17" s="209"/>
      <c r="J17" s="209"/>
      <c r="K17" s="209"/>
      <c r="L17" s="209"/>
      <c r="M17" s="209"/>
      <c r="N17" s="245"/>
      <c r="O17" s="246"/>
      <c r="P17" s="246"/>
      <c r="Q17" s="246"/>
      <c r="R17" s="246"/>
      <c r="S17" s="246"/>
      <c r="T17" s="246"/>
      <c r="U17" s="246"/>
      <c r="V17" s="246"/>
      <c r="W17" s="246"/>
      <c r="X17" s="247"/>
      <c r="Y17" s="9"/>
      <c r="Z17" s="9"/>
      <c r="AA17" s="9"/>
      <c r="AB17" s="323"/>
      <c r="AC17" s="323"/>
      <c r="AD17" s="323"/>
      <c r="AE17" s="323"/>
      <c r="AF17" s="323"/>
      <c r="AG17" s="89"/>
      <c r="AH17" s="9"/>
      <c r="AI17" s="9"/>
      <c r="AJ17" s="9"/>
      <c r="AK17" s="76"/>
      <c r="AL17" s="9"/>
      <c r="AM17" s="9"/>
      <c r="AN17" s="9"/>
      <c r="AO17" s="9"/>
      <c r="AP17" s="9"/>
      <c r="AQ17" s="9"/>
      <c r="AR17" s="9"/>
      <c r="AS17" s="9"/>
      <c r="AT17" s="9"/>
      <c r="AU17" s="9"/>
      <c r="AV17" s="9"/>
      <c r="AW17" s="9"/>
      <c r="AX17" s="9"/>
      <c r="AY17" s="9"/>
      <c r="AZ17" s="9"/>
      <c r="BA17" s="9"/>
      <c r="BB17" s="9"/>
      <c r="BC17" s="9"/>
      <c r="BD17" s="9"/>
      <c r="BE17" s="9"/>
      <c r="BF17" s="9"/>
      <c r="BG17" s="9"/>
      <c r="BH17" s="9"/>
      <c r="BI17" s="9"/>
      <c r="BJ17" s="9"/>
      <c r="BK17" s="9"/>
    </row>
    <row r="18" spans="1:63" ht="15.75" x14ac:dyDescent="0.25">
      <c r="A18" s="9"/>
      <c r="B18" s="9"/>
      <c r="C18" s="9"/>
      <c r="D18" s="9"/>
      <c r="E18" s="9"/>
      <c r="F18" s="9"/>
      <c r="G18" s="9"/>
      <c r="H18" s="209"/>
      <c r="I18" s="209"/>
      <c r="J18" s="209"/>
      <c r="K18" s="209"/>
      <c r="L18" s="209"/>
      <c r="M18" s="209"/>
      <c r="N18" s="9"/>
      <c r="O18" s="9"/>
      <c r="P18" s="9"/>
      <c r="Q18" s="9"/>
      <c r="R18" s="9"/>
      <c r="S18" s="9"/>
      <c r="T18" s="9"/>
      <c r="U18" s="9"/>
      <c r="V18" s="9"/>
      <c r="W18" s="9"/>
      <c r="X18" s="9"/>
      <c r="Y18" s="9"/>
      <c r="Z18" s="9"/>
      <c r="AA18" s="9"/>
      <c r="AB18" s="323"/>
      <c r="AC18" s="323"/>
      <c r="AD18" s="323"/>
      <c r="AE18" s="323"/>
      <c r="AF18" s="323"/>
      <c r="AG18" s="89"/>
      <c r="AH18" s="9"/>
      <c r="AI18" s="86"/>
      <c r="AJ18" s="86"/>
      <c r="AK18" s="50"/>
      <c r="AL18" s="9"/>
      <c r="AM18" s="9"/>
      <c r="AN18" s="9"/>
      <c r="AO18" s="9"/>
      <c r="AP18" s="9"/>
      <c r="AQ18" s="9"/>
      <c r="AR18" s="9"/>
      <c r="AS18" s="9"/>
      <c r="AT18" s="9"/>
      <c r="AU18" s="9"/>
      <c r="AV18" s="9"/>
      <c r="AW18" s="9"/>
      <c r="AX18" s="9"/>
      <c r="AY18" s="9"/>
      <c r="AZ18" s="9"/>
      <c r="BA18" s="9"/>
      <c r="BB18" s="9"/>
      <c r="BC18" s="9"/>
      <c r="BD18" s="9"/>
      <c r="BE18" s="9"/>
      <c r="BF18" s="9"/>
      <c r="BG18" s="9"/>
      <c r="BH18" s="9"/>
      <c r="BI18" s="9"/>
      <c r="BJ18" s="9"/>
      <c r="BK18" s="9"/>
    </row>
    <row r="19" spans="1:63" ht="28.5" customHeight="1" x14ac:dyDescent="0.25">
      <c r="A19" s="9"/>
      <c r="B19" s="9"/>
      <c r="C19" s="87" t="s">
        <v>61</v>
      </c>
      <c r="D19" s="87" t="s">
        <v>62</v>
      </c>
      <c r="E19" s="9"/>
      <c r="F19" s="215" t="s">
        <v>160</v>
      </c>
      <c r="G19" s="216"/>
      <c r="H19" s="209"/>
      <c r="I19" s="209"/>
      <c r="J19" s="209"/>
      <c r="K19" s="209"/>
      <c r="L19" s="209"/>
      <c r="M19" s="209"/>
      <c r="N19" s="9"/>
      <c r="O19" s="9"/>
      <c r="P19" s="9"/>
      <c r="Q19" s="9"/>
      <c r="R19" s="9"/>
      <c r="S19" s="9"/>
      <c r="T19" s="9"/>
      <c r="U19" s="9"/>
      <c r="V19" s="9"/>
      <c r="W19" s="9"/>
      <c r="X19" s="9"/>
      <c r="Y19" s="9"/>
      <c r="Z19" s="9"/>
      <c r="AA19" s="9"/>
      <c r="AB19" s="89"/>
      <c r="AC19" s="89"/>
      <c r="AD19" s="89"/>
      <c r="AE19" s="89"/>
      <c r="AF19" s="89"/>
      <c r="AG19" s="89"/>
      <c r="AH19" s="9"/>
      <c r="AI19" s="77"/>
      <c r="AJ19" s="77"/>
      <c r="AK19" s="50"/>
      <c r="AL19" s="9"/>
      <c r="AM19" s="9"/>
      <c r="AN19" s="9"/>
      <c r="AO19" s="9"/>
      <c r="AP19" s="9"/>
      <c r="AQ19" s="9"/>
      <c r="AR19" s="9"/>
      <c r="AS19" s="9"/>
      <c r="AT19" s="9"/>
      <c r="AU19" s="9"/>
      <c r="AV19" s="9"/>
      <c r="AW19" s="9"/>
      <c r="AX19" s="9"/>
      <c r="AY19" s="9"/>
      <c r="AZ19" s="9"/>
      <c r="BA19" s="9"/>
      <c r="BB19" s="9"/>
      <c r="BC19" s="9"/>
      <c r="BD19" s="9"/>
      <c r="BE19" s="9"/>
      <c r="BF19" s="9"/>
      <c r="BG19" s="9"/>
      <c r="BH19" s="9"/>
      <c r="BI19" s="9"/>
      <c r="BJ19" s="9"/>
      <c r="BK19" s="9"/>
    </row>
    <row r="20" spans="1:63" ht="28.5" customHeight="1" x14ac:dyDescent="0.25">
      <c r="A20" s="9"/>
      <c r="B20" s="2" t="s">
        <v>63</v>
      </c>
      <c r="C20" s="32">
        <v>0.4</v>
      </c>
      <c r="D20" s="32">
        <v>0.4</v>
      </c>
      <c r="E20" s="9"/>
      <c r="F20" s="217">
        <v>0.46</v>
      </c>
      <c r="G20" s="218"/>
      <c r="H20" s="209"/>
      <c r="I20" s="209"/>
      <c r="J20" s="209"/>
      <c r="K20" s="209"/>
      <c r="L20" s="209"/>
      <c r="M20" s="209"/>
      <c r="N20" s="9"/>
      <c r="O20" s="9"/>
      <c r="P20" s="9"/>
      <c r="Q20" s="9"/>
      <c r="R20" s="9"/>
      <c r="S20" s="9"/>
      <c r="T20" s="9"/>
      <c r="U20" s="9"/>
      <c r="V20" s="9"/>
      <c r="W20" s="9"/>
      <c r="X20" s="9"/>
      <c r="Y20" s="9"/>
      <c r="Z20" s="9"/>
      <c r="AA20" s="9"/>
      <c r="AB20" s="9"/>
      <c r="AC20" s="9"/>
      <c r="AD20" s="9"/>
      <c r="AE20" s="9"/>
      <c r="AF20" s="9"/>
      <c r="AG20" s="9"/>
      <c r="AH20" s="9"/>
      <c r="AI20" s="77"/>
      <c r="AJ20" s="77"/>
      <c r="AK20" s="50"/>
      <c r="AL20" s="9"/>
      <c r="AM20" s="9"/>
      <c r="AN20" s="9"/>
      <c r="AO20" s="9"/>
      <c r="AP20" s="9"/>
      <c r="AQ20" s="9"/>
      <c r="AR20" s="9"/>
      <c r="AS20" s="9"/>
      <c r="AX20" s="9"/>
      <c r="AY20" s="9"/>
      <c r="AZ20" s="9"/>
      <c r="BA20" s="9"/>
      <c r="BB20" s="9"/>
      <c r="BC20" s="9"/>
      <c r="BD20" s="9"/>
      <c r="BE20" s="9"/>
      <c r="BF20" s="9"/>
      <c r="BG20" s="9"/>
      <c r="BH20" s="9"/>
      <c r="BI20" s="9"/>
      <c r="BJ20" s="9"/>
      <c r="BK20" s="9"/>
    </row>
    <row r="21" spans="1:63" ht="28.5" customHeight="1" thickBot="1" x14ac:dyDescent="0.3">
      <c r="A21" s="9"/>
      <c r="B21" s="9"/>
      <c r="C21" s="9"/>
      <c r="D21" s="9"/>
      <c r="E21" s="9"/>
      <c r="F21" s="9"/>
      <c r="G21" s="9"/>
      <c r="H21" s="209"/>
      <c r="I21" s="209"/>
      <c r="J21" s="209"/>
      <c r="K21" s="209"/>
      <c r="L21" s="209"/>
      <c r="M21" s="209"/>
      <c r="N21" s="9"/>
      <c r="O21" s="9"/>
      <c r="P21" s="9"/>
      <c r="Q21" s="9"/>
      <c r="R21" s="9"/>
      <c r="S21" s="9"/>
      <c r="T21" s="9"/>
      <c r="U21" s="9"/>
      <c r="V21" s="9"/>
      <c r="W21" s="9"/>
      <c r="X21" s="9"/>
      <c r="Y21" s="9"/>
      <c r="Z21" s="9"/>
      <c r="AA21" s="9"/>
      <c r="AB21" s="9"/>
      <c r="AC21" s="9"/>
      <c r="AD21" s="9"/>
      <c r="AE21" s="9"/>
      <c r="AF21" s="9"/>
      <c r="AG21" s="9"/>
      <c r="AH21" s="9"/>
      <c r="AK21" s="50"/>
      <c r="AL21" s="9"/>
      <c r="AM21" s="9"/>
      <c r="AN21" s="9"/>
      <c r="AO21" s="9"/>
      <c r="AP21" s="9"/>
      <c r="AQ21" s="9"/>
      <c r="AR21" s="9"/>
      <c r="AT21" s="337" t="s">
        <v>134</v>
      </c>
      <c r="AU21" s="337"/>
      <c r="AV21" s="337"/>
      <c r="AW21" s="337"/>
      <c r="AX21" s="9"/>
      <c r="AY21" s="9"/>
      <c r="AZ21" s="9"/>
      <c r="BA21" s="9"/>
      <c r="BB21" s="9"/>
      <c r="BC21" s="337" t="s">
        <v>31</v>
      </c>
      <c r="BD21" s="337"/>
      <c r="BE21" s="337"/>
      <c r="BF21" s="337"/>
      <c r="BG21" s="9"/>
      <c r="BH21" s="9"/>
      <c r="BI21" s="9"/>
      <c r="BJ21" s="9"/>
      <c r="BK21" s="9"/>
    </row>
    <row r="22" spans="1:63" ht="36.75" customHeight="1" thickTop="1" x14ac:dyDescent="0.25">
      <c r="A22" s="9"/>
      <c r="B22" s="2" t="s">
        <v>7</v>
      </c>
      <c r="C22" s="32">
        <v>1.31</v>
      </c>
      <c r="D22" s="9"/>
      <c r="E22" s="324" t="s">
        <v>37</v>
      </c>
      <c r="F22" s="324"/>
      <c r="G22" s="324"/>
      <c r="H22" s="13"/>
      <c r="I22" s="13"/>
      <c r="J22" s="13"/>
      <c r="K22" s="13"/>
      <c r="L22" s="13"/>
      <c r="M22" s="13"/>
      <c r="N22" s="325">
        <f>+IF(OR(AI30="FALTAN DATOS",AI32="FALTAN DATOS",AI34="FALTAN DATOS",AI36="FALTAN DATOS",AI38="FALTAN DATOS",AI40="FALTAN DATOS",AI42="FALTAN DATOS",AI44="FALTAN DATOS",AI46="FALTAN DATOS",AI48="FALTAN DATOS",AI50="FALTAN DATOS",AI52="FALTAN DATOS",AI54="FALTAN DATOS",AI56="FALTAN DATOS",AI58="FALTAN DATOS",AI60="FALTAN DATOS"),"FALTAN DATOS",SUM(AJ30:AJ61))</f>
        <v>0.55948980833333339</v>
      </c>
      <c r="O22" s="326"/>
      <c r="P22" s="9"/>
      <c r="Q22" s="9"/>
      <c r="R22" s="324" t="s">
        <v>8</v>
      </c>
      <c r="S22" s="324"/>
      <c r="T22" s="324"/>
      <c r="U22" s="18"/>
      <c r="V22" s="18"/>
      <c r="W22" s="331">
        <f>+IF(N22="FALTAN DATOS","FALTAN DATOS",N22*1000)</f>
        <v>559.48980833333337</v>
      </c>
      <c r="X22" s="332"/>
      <c r="Y22" s="19"/>
      <c r="Z22" s="19"/>
      <c r="AA22" s="19"/>
      <c r="AB22" s="19"/>
      <c r="AC22" s="20"/>
      <c r="AD22" s="20"/>
      <c r="AE22" s="9"/>
      <c r="AF22" s="9"/>
      <c r="AG22" s="9"/>
      <c r="AH22" s="9"/>
      <c r="AI22" s="9"/>
      <c r="AJ22" s="9"/>
      <c r="AK22" s="31"/>
      <c r="AL22" s="9"/>
      <c r="AM22" s="9"/>
      <c r="AN22" s="9"/>
      <c r="AO22" s="9"/>
      <c r="AP22" s="9"/>
      <c r="AQ22" s="9"/>
      <c r="AR22" s="9"/>
      <c r="AS22" s="9"/>
      <c r="AT22" s="9"/>
      <c r="AU22" s="9"/>
      <c r="AV22" s="9"/>
      <c r="AW22" s="9"/>
      <c r="AX22" s="9"/>
      <c r="AY22" s="9"/>
      <c r="AZ22" s="9"/>
      <c r="BA22" s="9"/>
      <c r="BB22" s="9"/>
      <c r="BC22" s="9"/>
      <c r="BD22" s="9"/>
      <c r="BE22" s="9"/>
      <c r="BF22" s="9"/>
      <c r="BG22" s="9"/>
      <c r="BH22" s="9"/>
      <c r="BI22" s="9"/>
      <c r="BJ22" s="9"/>
      <c r="BK22" s="9"/>
    </row>
    <row r="23" spans="1:63" ht="36" customHeight="1" x14ac:dyDescent="0.25">
      <c r="A23" s="9"/>
      <c r="B23" s="2" t="s">
        <v>5</v>
      </c>
      <c r="C23" s="3">
        <f>+IF(C22=0,0,IF(C22&lt;1,4,IF(C22&lt;2,6,IF(C22&lt;4,10,IF(C22&lt;8,16,"EXCEDE CAPACIDADES")))))</f>
        <v>6</v>
      </c>
      <c r="D23" s="9"/>
      <c r="E23" s="324"/>
      <c r="F23" s="324"/>
      <c r="G23" s="324"/>
      <c r="H23" s="13"/>
      <c r="I23" s="13"/>
      <c r="J23" s="13"/>
      <c r="K23" s="13"/>
      <c r="L23" s="13"/>
      <c r="M23" s="13"/>
      <c r="N23" s="327"/>
      <c r="O23" s="328"/>
      <c r="P23" s="9"/>
      <c r="Q23" s="9"/>
      <c r="R23" s="324"/>
      <c r="S23" s="324"/>
      <c r="T23" s="324"/>
      <c r="U23" s="18"/>
      <c r="V23" s="18"/>
      <c r="W23" s="333"/>
      <c r="X23" s="334"/>
      <c r="Y23" s="19"/>
      <c r="Z23" s="19"/>
      <c r="AA23" s="19"/>
      <c r="AB23" s="19"/>
      <c r="AC23" s="20"/>
      <c r="AD23" s="20"/>
      <c r="AE23" s="9"/>
      <c r="AF23" s="9"/>
      <c r="AG23" s="9"/>
      <c r="AH23" s="9"/>
      <c r="AI23" s="9"/>
      <c r="AJ23" s="9"/>
      <c r="AK23" s="31"/>
      <c r="AL23" s="9"/>
      <c r="AM23" s="9"/>
      <c r="AN23" s="9"/>
      <c r="AO23" s="9"/>
      <c r="AP23" s="9"/>
      <c r="AQ23" s="9"/>
      <c r="AR23" s="9"/>
      <c r="AS23" s="9"/>
      <c r="AT23" s="9"/>
      <c r="AU23" s="9"/>
      <c r="AV23" s="9"/>
      <c r="AW23" s="9"/>
      <c r="AX23" s="9"/>
      <c r="AY23" s="9"/>
      <c r="AZ23" s="9"/>
      <c r="BA23" s="9"/>
      <c r="BB23" s="9"/>
      <c r="BC23" s="9"/>
      <c r="BD23" s="9"/>
      <c r="BE23" s="9"/>
      <c r="BF23" s="9"/>
      <c r="BG23" s="9"/>
      <c r="BH23" s="9"/>
      <c r="BI23" s="9"/>
      <c r="BJ23" s="9"/>
      <c r="BK23" s="9"/>
    </row>
    <row r="24" spans="1:63" ht="27" thickBot="1" x14ac:dyDescent="0.3">
      <c r="A24" s="9"/>
      <c r="B24" s="2" t="s">
        <v>6</v>
      </c>
      <c r="C24" s="3">
        <f>IF(ISNUMBER(C23),IF(C23=0,0,+C22/C23),"NO APLICA")</f>
        <v>0.21833333333333335</v>
      </c>
      <c r="D24" s="9"/>
      <c r="E24" s="324"/>
      <c r="F24" s="324"/>
      <c r="G24" s="324"/>
      <c r="H24" s="13"/>
      <c r="I24" s="13"/>
      <c r="J24" s="13"/>
      <c r="K24" s="13"/>
      <c r="L24" s="13"/>
      <c r="M24" s="13"/>
      <c r="N24" s="329"/>
      <c r="O24" s="330"/>
      <c r="P24" s="9"/>
      <c r="Q24" s="9"/>
      <c r="R24" s="324"/>
      <c r="S24" s="324"/>
      <c r="T24" s="324"/>
      <c r="U24" s="18"/>
      <c r="V24" s="18"/>
      <c r="W24" s="335"/>
      <c r="X24" s="336"/>
      <c r="Y24" s="19"/>
      <c r="Z24" s="19"/>
      <c r="AA24" s="19"/>
      <c r="AB24" s="19"/>
      <c r="AC24" s="20"/>
      <c r="AD24" s="20"/>
      <c r="AE24" s="9"/>
      <c r="AF24" s="9"/>
      <c r="AG24" s="9"/>
      <c r="AH24" s="9"/>
      <c r="AI24" s="9"/>
      <c r="AJ24" s="9"/>
      <c r="AK24" s="31"/>
      <c r="AL24" s="9"/>
      <c r="AM24" s="9"/>
      <c r="AN24" s="9"/>
      <c r="AO24" s="9"/>
      <c r="AP24" s="9"/>
      <c r="AQ24" s="9"/>
      <c r="AR24" s="9"/>
      <c r="AS24" s="9"/>
      <c r="AT24" s="9"/>
      <c r="AU24" s="9"/>
      <c r="AV24" s="9"/>
      <c r="AW24" s="9"/>
      <c r="AX24" s="9"/>
      <c r="AY24" s="9"/>
      <c r="AZ24" s="9"/>
      <c r="BA24" s="9"/>
      <c r="BB24" s="9"/>
      <c r="BC24" s="9"/>
      <c r="BD24" s="9"/>
      <c r="BE24" s="9"/>
      <c r="BF24" s="9"/>
      <c r="BG24" s="9"/>
      <c r="BH24" s="9"/>
      <c r="BI24" s="9"/>
      <c r="BJ24" s="9"/>
      <c r="BK24" s="9"/>
    </row>
    <row r="25" spans="1:63" ht="6" customHeight="1" thickTop="1" x14ac:dyDescent="0.25">
      <c r="A25" s="9"/>
      <c r="B25" s="9"/>
      <c r="C25" s="9"/>
      <c r="D25" s="9"/>
      <c r="E25" s="9"/>
      <c r="F25" s="9"/>
      <c r="G25" s="9"/>
      <c r="H25" s="209"/>
      <c r="I25" s="209"/>
      <c r="J25" s="209"/>
      <c r="K25" s="209"/>
      <c r="L25" s="209"/>
      <c r="M25" s="209"/>
      <c r="N25" s="9"/>
      <c r="O25" s="9"/>
      <c r="P25" s="9"/>
      <c r="Q25" s="9"/>
      <c r="R25" s="9"/>
      <c r="S25" s="9"/>
      <c r="T25" s="9"/>
      <c r="U25" s="9"/>
      <c r="V25" s="9"/>
      <c r="W25" s="9"/>
      <c r="X25" s="9"/>
      <c r="Y25" s="9"/>
      <c r="Z25" s="9"/>
      <c r="AA25" s="9"/>
      <c r="AB25" s="9"/>
      <c r="AC25" s="9"/>
      <c r="AD25" s="9"/>
      <c r="AE25" s="9"/>
      <c r="AF25" s="9"/>
      <c r="AG25" s="9"/>
      <c r="AH25" s="9"/>
      <c r="AI25" s="9"/>
      <c r="AJ25" s="9"/>
      <c r="AK25" s="31"/>
      <c r="AL25" s="9"/>
      <c r="AM25" s="9"/>
      <c r="AN25" s="9"/>
      <c r="AO25" s="9"/>
      <c r="AP25" s="9"/>
      <c r="AQ25" s="9"/>
      <c r="AR25" s="9"/>
      <c r="AS25" s="9"/>
      <c r="AT25" s="9"/>
      <c r="AU25" s="9"/>
      <c r="AV25" s="9"/>
      <c r="AW25" s="9"/>
      <c r="AX25" s="9"/>
      <c r="AY25" s="9"/>
      <c r="AZ25" s="9"/>
      <c r="BA25" s="9"/>
      <c r="BB25" s="9"/>
      <c r="BC25" s="9"/>
      <c r="BD25" s="9"/>
      <c r="BE25" s="9"/>
      <c r="BF25" s="9"/>
      <c r="BG25" s="9"/>
      <c r="BH25" s="9"/>
      <c r="BI25" s="9"/>
      <c r="BJ25" s="9"/>
      <c r="BK25" s="9"/>
    </row>
    <row r="26" spans="1:63" ht="33" customHeight="1" x14ac:dyDescent="0.25">
      <c r="A26" s="9"/>
      <c r="B26" s="10"/>
      <c r="C26" s="10"/>
      <c r="D26" s="10"/>
      <c r="E26" s="10"/>
      <c r="F26" s="10"/>
      <c r="G26" s="10"/>
      <c r="H26" s="208"/>
      <c r="I26" s="213"/>
      <c r="J26" s="213"/>
      <c r="K26" s="213"/>
      <c r="L26" s="213"/>
      <c r="M26" s="208"/>
      <c r="N26" s="305" t="s">
        <v>74</v>
      </c>
      <c r="O26" s="305"/>
      <c r="P26" s="305"/>
      <c r="Q26" s="16"/>
      <c r="R26" s="305" t="s">
        <v>36</v>
      </c>
      <c r="S26" s="305"/>
      <c r="T26" s="305"/>
      <c r="U26" s="16"/>
      <c r="V26" s="16"/>
      <c r="W26" s="306" t="s">
        <v>10</v>
      </c>
      <c r="X26" s="306"/>
      <c r="Y26" s="306"/>
      <c r="Z26" s="306"/>
      <c r="AA26" s="306"/>
      <c r="AB26" s="306"/>
      <c r="AC26" s="306"/>
      <c r="AD26" s="306"/>
      <c r="AE26" s="306"/>
      <c r="AF26" s="306" t="s">
        <v>25</v>
      </c>
      <c r="AG26" s="306"/>
      <c r="AH26" s="306"/>
      <c r="AI26" s="223" t="s">
        <v>11</v>
      </c>
      <c r="AJ26" s="305" t="s">
        <v>75</v>
      </c>
      <c r="AK26" s="16"/>
      <c r="AL26" s="9"/>
      <c r="AM26" s="9"/>
      <c r="AN26" s="9"/>
      <c r="AO26" s="9"/>
      <c r="AP26" s="9"/>
      <c r="AQ26" s="9"/>
      <c r="AR26" s="9"/>
      <c r="AS26" s="9"/>
      <c r="AT26" s="9"/>
      <c r="AU26" s="9"/>
      <c r="AV26" s="9"/>
      <c r="AW26" s="9"/>
      <c r="AX26" s="9"/>
      <c r="AY26" s="9"/>
      <c r="AZ26" s="9"/>
      <c r="BA26" s="9"/>
      <c r="BB26" s="9"/>
      <c r="BC26" s="9"/>
      <c r="BD26" s="9"/>
      <c r="BE26" s="9"/>
      <c r="BF26" s="9"/>
      <c r="BG26" s="9"/>
      <c r="BH26" s="9"/>
      <c r="BI26" s="9"/>
      <c r="BJ26" s="9"/>
      <c r="BK26" s="9"/>
    </row>
    <row r="27" spans="1:63" s="4" customFormat="1" ht="51" customHeight="1" x14ac:dyDescent="0.25">
      <c r="A27" s="11"/>
      <c r="B27" s="28" t="s">
        <v>0</v>
      </c>
      <c r="C27" s="28" t="s">
        <v>76</v>
      </c>
      <c r="D27" s="28" t="s">
        <v>33</v>
      </c>
      <c r="E27" s="28" t="s">
        <v>77</v>
      </c>
      <c r="F27" s="28" t="s">
        <v>39</v>
      </c>
      <c r="G27" s="28" t="s">
        <v>73</v>
      </c>
      <c r="H27" s="15" t="s">
        <v>13</v>
      </c>
      <c r="I27" s="15" t="s">
        <v>14</v>
      </c>
      <c r="J27" s="15" t="s">
        <v>15</v>
      </c>
      <c r="K27" s="15" t="s">
        <v>13</v>
      </c>
      <c r="L27" s="15" t="s">
        <v>14</v>
      </c>
      <c r="M27" s="15"/>
      <c r="N27" s="28" t="s">
        <v>2</v>
      </c>
      <c r="O27" s="28" t="s">
        <v>3</v>
      </c>
      <c r="P27" s="28" t="s">
        <v>4</v>
      </c>
      <c r="Q27" s="16"/>
      <c r="R27" s="28" t="s">
        <v>2</v>
      </c>
      <c r="S27" s="28" t="s">
        <v>3</v>
      </c>
      <c r="T27" s="28" t="s">
        <v>4</v>
      </c>
      <c r="U27" s="16"/>
      <c r="V27" s="16"/>
      <c r="W27" s="29" t="s">
        <v>16</v>
      </c>
      <c r="X27" s="29" t="s">
        <v>17</v>
      </c>
      <c r="Y27" s="29" t="s">
        <v>18</v>
      </c>
      <c r="Z27" s="29" t="s">
        <v>19</v>
      </c>
      <c r="AA27" s="29" t="s">
        <v>20</v>
      </c>
      <c r="AB27" s="29" t="s">
        <v>21</v>
      </c>
      <c r="AC27" s="29" t="s">
        <v>22</v>
      </c>
      <c r="AD27" s="29" t="s">
        <v>23</v>
      </c>
      <c r="AE27" s="29" t="s">
        <v>24</v>
      </c>
      <c r="AF27" s="28" t="s">
        <v>2</v>
      </c>
      <c r="AG27" s="28" t="s">
        <v>3</v>
      </c>
      <c r="AH27" s="28" t="s">
        <v>4</v>
      </c>
      <c r="AI27" s="224"/>
      <c r="AJ27" s="305"/>
      <c r="AK27" s="16"/>
      <c r="AL27" s="75" t="s">
        <v>47</v>
      </c>
      <c r="AM27" s="75" t="s">
        <v>49</v>
      </c>
      <c r="AN27" s="75" t="s">
        <v>50</v>
      </c>
      <c r="AO27" s="75" t="s">
        <v>51</v>
      </c>
      <c r="AP27" s="75" t="s">
        <v>48</v>
      </c>
      <c r="AQ27" s="46"/>
      <c r="AR27" s="338" t="s">
        <v>55</v>
      </c>
      <c r="AS27" s="339"/>
      <c r="AT27" s="339"/>
      <c r="AU27" s="339"/>
      <c r="AV27" s="339"/>
      <c r="AW27" s="339"/>
      <c r="AX27" s="339"/>
      <c r="AY27" s="339"/>
      <c r="AZ27" s="339"/>
      <c r="BA27" s="339"/>
      <c r="BB27" s="339"/>
      <c r="BC27" s="339"/>
      <c r="BD27" s="339"/>
      <c r="BE27" s="339"/>
      <c r="BF27" s="339"/>
      <c r="BG27" s="339"/>
      <c r="BH27" s="340"/>
      <c r="BI27" s="11"/>
      <c r="BJ27" s="11"/>
      <c r="BK27" s="11"/>
    </row>
    <row r="28" spans="1:63" s="4" customFormat="1" ht="15" customHeight="1" x14ac:dyDescent="0.25">
      <c r="A28" s="11"/>
      <c r="B28" s="223" t="s">
        <v>1</v>
      </c>
      <c r="C28" s="309">
        <v>0</v>
      </c>
      <c r="D28" s="311">
        <v>0</v>
      </c>
      <c r="E28" s="219">
        <v>0.45</v>
      </c>
      <c r="F28" s="225" t="s">
        <v>9</v>
      </c>
      <c r="G28" s="225" t="s">
        <v>9</v>
      </c>
      <c r="H28" s="273">
        <f t="shared" ref="H28" si="0">+IF(C28="NO APLICA","",MAX(E$28:E$63))</f>
        <v>0.46</v>
      </c>
      <c r="I28" s="273">
        <f>+IF(C28="NO APLICA","",H28-E28)</f>
        <v>1.0000000000000009E-2</v>
      </c>
      <c r="J28" s="17">
        <f>+IF(D28="NO APLICA","",D28)</f>
        <v>0</v>
      </c>
      <c r="K28" s="17">
        <f>+H28</f>
        <v>0.46</v>
      </c>
      <c r="L28" s="17">
        <f>+I28</f>
        <v>1.0000000000000009E-2</v>
      </c>
      <c r="M28" s="211"/>
      <c r="N28" s="304" t="s">
        <v>9</v>
      </c>
      <c r="O28" s="304" t="s">
        <v>9</v>
      </c>
      <c r="P28" s="304" t="s">
        <v>9</v>
      </c>
      <c r="Q28" s="16"/>
      <c r="R28" s="304" t="s">
        <v>9</v>
      </c>
      <c r="S28" s="304" t="s">
        <v>9</v>
      </c>
      <c r="T28" s="304" t="s">
        <v>9</v>
      </c>
      <c r="U28" s="16"/>
      <c r="V28" s="16"/>
      <c r="W28" s="298" t="s">
        <v>9</v>
      </c>
      <c r="X28" s="298" t="s">
        <v>9</v>
      </c>
      <c r="Y28" s="298" t="s">
        <v>9</v>
      </c>
      <c r="Z28" s="298" t="s">
        <v>9</v>
      </c>
      <c r="AA28" s="298" t="s">
        <v>9</v>
      </c>
      <c r="AB28" s="298" t="s">
        <v>9</v>
      </c>
      <c r="AC28" s="298" t="s">
        <v>9</v>
      </c>
      <c r="AD28" s="298" t="s">
        <v>9</v>
      </c>
      <c r="AE28" s="298" t="s">
        <v>9</v>
      </c>
      <c r="AF28" s="300" t="s">
        <v>9</v>
      </c>
      <c r="AG28" s="300" t="s">
        <v>9</v>
      </c>
      <c r="AH28" s="300" t="s">
        <v>9</v>
      </c>
      <c r="AI28" s="301" t="s">
        <v>9</v>
      </c>
      <c r="AJ28" s="297" t="s">
        <v>9</v>
      </c>
      <c r="AK28" s="51"/>
      <c r="AL28" s="53" t="s">
        <v>46</v>
      </c>
      <c r="AM28" s="59">
        <f>+MAX(E28:E63)-E28</f>
        <v>1.0000000000000009E-2</v>
      </c>
      <c r="AN28" s="60">
        <v>0</v>
      </c>
      <c r="AO28" s="60">
        <v>0</v>
      </c>
      <c r="AP28" s="58" t="str">
        <f>+B28</f>
        <v>Inicial</v>
      </c>
      <c r="AQ28" s="46"/>
      <c r="AR28" s="40" t="s">
        <v>56</v>
      </c>
      <c r="AS28" s="41">
        <f>+B30</f>
        <v>1</v>
      </c>
      <c r="AT28" s="42">
        <f>+B32</f>
        <v>2</v>
      </c>
      <c r="AU28" s="42">
        <f>+B34</f>
        <v>3</v>
      </c>
      <c r="AV28" s="42">
        <f>+B36</f>
        <v>4</v>
      </c>
      <c r="AW28" s="42">
        <f>+B38</f>
        <v>5</v>
      </c>
      <c r="AX28" s="42">
        <f>+B40</f>
        <v>6</v>
      </c>
      <c r="AY28" s="42" t="str">
        <f>+B42</f>
        <v>Final</v>
      </c>
      <c r="AZ28" s="42" t="str">
        <f>+B44</f>
        <v>S/N</v>
      </c>
      <c r="BA28" s="42" t="str">
        <f>+B46</f>
        <v>S/N</v>
      </c>
      <c r="BB28" s="42" t="str">
        <f>+B48</f>
        <v>S/N</v>
      </c>
      <c r="BC28" s="42" t="str">
        <f>+B50</f>
        <v>S/N</v>
      </c>
      <c r="BD28" s="42" t="str">
        <f>+B52</f>
        <v>S/N</v>
      </c>
      <c r="BE28" s="42" t="str">
        <f>+B54</f>
        <v>S/N</v>
      </c>
      <c r="BF28" s="42" t="str">
        <f>+B56</f>
        <v>S/N</v>
      </c>
      <c r="BG28" s="42" t="str">
        <f>+B58</f>
        <v>S/N</v>
      </c>
      <c r="BH28" s="43" t="str">
        <f>+B60</f>
        <v>S/N</v>
      </c>
      <c r="BI28" s="11"/>
      <c r="BJ28" s="11"/>
      <c r="BK28" s="11"/>
    </row>
    <row r="29" spans="1:63" s="4" customFormat="1" ht="15" customHeight="1" thickBot="1" x14ac:dyDescent="0.3">
      <c r="A29" s="11"/>
      <c r="B29" s="224"/>
      <c r="C29" s="310"/>
      <c r="D29" s="312"/>
      <c r="E29" s="220"/>
      <c r="F29" s="225"/>
      <c r="G29" s="225"/>
      <c r="H29" s="273"/>
      <c r="I29" s="273"/>
      <c r="J29" s="17">
        <f>+IF(D30="NO APLICA","",D30)</f>
        <v>0.11</v>
      </c>
      <c r="K29" s="17">
        <f>+H30</f>
        <v>0.46</v>
      </c>
      <c r="L29" s="17">
        <f>+I30</f>
        <v>0</v>
      </c>
      <c r="M29" s="211"/>
      <c r="N29" s="304"/>
      <c r="O29" s="304"/>
      <c r="P29" s="304"/>
      <c r="Q29" s="16"/>
      <c r="R29" s="304"/>
      <c r="S29" s="304"/>
      <c r="T29" s="304"/>
      <c r="U29" s="16"/>
      <c r="V29" s="16"/>
      <c r="W29" s="299"/>
      <c r="X29" s="299"/>
      <c r="Y29" s="299"/>
      <c r="Z29" s="299"/>
      <c r="AA29" s="299"/>
      <c r="AB29" s="299"/>
      <c r="AC29" s="299"/>
      <c r="AD29" s="299"/>
      <c r="AE29" s="299"/>
      <c r="AF29" s="300"/>
      <c r="AG29" s="300"/>
      <c r="AH29" s="300"/>
      <c r="AI29" s="302"/>
      <c r="AJ29" s="297"/>
      <c r="AK29" s="52"/>
      <c r="AL29" s="54" t="s">
        <v>41</v>
      </c>
      <c r="AM29" s="61">
        <f>+IF(O30="NO APLICA","",MAX(E28:E63))</f>
        <v>0.46</v>
      </c>
      <c r="AN29" s="62">
        <f>+IF(AN30="",IF(AN31="","",AN31),AN30)</f>
        <v>0.11</v>
      </c>
      <c r="AO29" s="62">
        <f>+IF(AO30="",IF(AO31="","",AO31*1.25),AO30*1.15)</f>
        <v>0.95641666666666658</v>
      </c>
      <c r="AP29" s="63">
        <f>+B30</f>
        <v>1</v>
      </c>
      <c r="AQ29" s="47"/>
      <c r="AR29" s="341" t="s">
        <v>54</v>
      </c>
      <c r="AS29" s="343">
        <f>+AF30</f>
        <v>0.83166666666666667</v>
      </c>
      <c r="AT29" s="313">
        <f>+AF32</f>
        <v>0.95266666666666655</v>
      </c>
      <c r="AU29" s="313">
        <f>+AF34</f>
        <v>0.98933333333333329</v>
      </c>
      <c r="AV29" s="313">
        <f>+AF36</f>
        <v>1.0046666666666668</v>
      </c>
      <c r="AW29" s="313">
        <f>+AF38</f>
        <v>1.0196666666666667</v>
      </c>
      <c r="AX29" s="313">
        <f>+AF40</f>
        <v>0.8743333333333333</v>
      </c>
      <c r="AY29" s="313" t="str">
        <f>+AF42</f>
        <v>NO APLICA</v>
      </c>
      <c r="AZ29" s="313" t="str">
        <f>+AF44</f>
        <v>NO APLICA</v>
      </c>
      <c r="BA29" s="313" t="str">
        <f>+AF46</f>
        <v>NO APLICA</v>
      </c>
      <c r="BB29" s="313" t="str">
        <f>+AF48</f>
        <v>NO APLICA</v>
      </c>
      <c r="BC29" s="313" t="str">
        <f>+AF50</f>
        <v>NO APLICA</v>
      </c>
      <c r="BD29" s="313" t="str">
        <f>+AF52</f>
        <v>NO APLICA</v>
      </c>
      <c r="BE29" s="313" t="str">
        <f>+AF54</f>
        <v>NO APLICA</v>
      </c>
      <c r="BF29" s="313" t="str">
        <f>+AF56</f>
        <v>NO APLICA</v>
      </c>
      <c r="BG29" s="313" t="str">
        <f>+AF58</f>
        <v>NO APLICA</v>
      </c>
      <c r="BH29" s="315" t="str">
        <f>+AF60</f>
        <v>NO APLICA</v>
      </c>
      <c r="BI29" s="11"/>
      <c r="BJ29" s="11"/>
      <c r="BK29" s="11"/>
    </row>
    <row r="30" spans="1:63" ht="15" customHeight="1" x14ac:dyDescent="0.25">
      <c r="A30" s="9"/>
      <c r="B30" s="267">
        <f>+IF(C30="NO APLICA","S/N",1)</f>
        <v>1</v>
      </c>
      <c r="C30" s="269">
        <f>+IF(AND(C23&gt;0,ISNUMBER(C23)),C24/2,"NO APLICA")</f>
        <v>0.10916666666666668</v>
      </c>
      <c r="D30" s="271">
        <f>IF(C30="NO APLICA","NO APLICA",ROUND(C30,2))</f>
        <v>0.11</v>
      </c>
      <c r="E30" s="219">
        <v>0.46</v>
      </c>
      <c r="F30" s="5">
        <f>+IF(C30="NO APLICA","NO APLICA",IF(E30=E28,E30*D30,IF(E30&gt;E28,E28*D30+(((E30-E28))*D30/2),IF(E30&lt;E28,(E30*D30)+(((E28-E30))*D30/2)))))</f>
        <v>5.0050000000000004E-2</v>
      </c>
      <c r="G30" s="225">
        <f>+IF(F31="NO APLICA","NO APLICA",F30+F31)</f>
        <v>0.10065000000000002</v>
      </c>
      <c r="H30" s="273">
        <f t="shared" ref="H30" si="1">+IF(C30="NO APLICA","",MAX(E$28:E$63))</f>
        <v>0.46</v>
      </c>
      <c r="I30" s="273">
        <f t="shared" ref="I30" si="2">+IF(C30="NO APLICA","",H30-E30)</f>
        <v>0</v>
      </c>
      <c r="J30" s="23">
        <f>+IF(D32="NO APLICA","",(D30+D32)/2)</f>
        <v>0.22</v>
      </c>
      <c r="K30" s="23">
        <f>+IF(K29=K31,K29,"")</f>
        <v>0.46</v>
      </c>
      <c r="L30" s="23">
        <f>+IF(L31="","",(L29+L31)/2)</f>
        <v>0</v>
      </c>
      <c r="M30" s="210"/>
      <c r="N30" s="287">
        <f>+IF(F31="NO APLICA","NO APLICA",IF(E30&gt;0.2,E30*0.2,"NO APLICA"))</f>
        <v>9.2000000000000012E-2</v>
      </c>
      <c r="O30" s="287">
        <f>+IF(F31="NO APLICA","NO APLICA",IF(E30&gt;0,E30*0.6,"NO APLICA"))</f>
        <v>0.27600000000000002</v>
      </c>
      <c r="P30" s="287" t="str">
        <f>+IF(F31="NO APLICA","NO APLICA",IF(E30&gt;0.5,E30*0.8,"NO APLICA"))</f>
        <v>NO APLICA</v>
      </c>
      <c r="Q30" s="26"/>
      <c r="R30" s="288">
        <f>+IF(F31="NO APLICA","NO APLICA",IF(E30&gt;0.2,E30*0.8,"NO APLICA"))</f>
        <v>0.36800000000000005</v>
      </c>
      <c r="S30" s="288">
        <f>+IF(F31="NO APLICA","NO APLICA",IF(E30&gt;0,E30*0.4,"NO APLICA"))</f>
        <v>0.18400000000000002</v>
      </c>
      <c r="T30" s="288" t="str">
        <f>+IF(F31="NO APLICA","NO APLICA",IF(E30&gt;0.5,E30*0.2,"NO APLICA"))</f>
        <v>NO APLICA</v>
      </c>
      <c r="U30" s="30"/>
      <c r="V30" s="30"/>
      <c r="W30" s="292">
        <v>0.82599999999999996</v>
      </c>
      <c r="X30" s="293">
        <v>0.82799999999999996</v>
      </c>
      <c r="Y30" s="294">
        <v>0.84099999999999997</v>
      </c>
      <c r="Z30" s="292">
        <v>0.80600000000000005</v>
      </c>
      <c r="AA30" s="293">
        <v>0.79600000000000004</v>
      </c>
      <c r="AB30" s="294">
        <v>0.81399999999999995</v>
      </c>
      <c r="AC30" s="295"/>
      <c r="AD30" s="296"/>
      <c r="AE30" s="303"/>
      <c r="AF30" s="277">
        <f>+IF(OR(ISNUMBER(W30),ISNUMBER(X30),ISNUMBER(Y30)),AVERAGE(W30:Y31),"NO APLICA")</f>
        <v>0.83166666666666667</v>
      </c>
      <c r="AG30" s="278">
        <f>+IF(OR(ISNUMBER(Z30),ISNUMBER(AA30),ISNUMBER(AB30)),AVERAGE(Z30:AB31),"NO APLICA")</f>
        <v>0.80533333333333335</v>
      </c>
      <c r="AH30" s="278" t="str">
        <f>+IF(OR(ISNUMBER(AC30),ISNUMBER(AD30),ISNUMBER(AE30)),AVERAGE(AC30:AE31),"NO APLICA")</f>
        <v>NO APLICA</v>
      </c>
      <c r="AI30" s="279">
        <f>IF(F31="NO APLICA","NO APLICA",IF(E30&gt;0.5,IF(OR(ISTEXT(AF30),ISTEXT(AG30),ISTEXT(AH30)),"FALTAN DATOS",(AF30+2*AG30+AH30)/4),IF(E30&gt;0.2,IF(OR(ISTEXT(AF30),ISTEXT(AG30)),"FALTAN DATOS",(AF30+AG30)/2),IF(E30&gt;0,IF(ISTEXT(AG30),"FALTAN DATOS",AG30),"NO APLICA"))))</f>
        <v>0.81850000000000001</v>
      </c>
      <c r="AJ30" s="266">
        <f>+IF(OR(AI30="FALTAN DATOS",AI30="NO APLICA"),"NO APLICA",AI30*G30)</f>
        <v>8.2382025000000011E-2</v>
      </c>
      <c r="AK30" s="49"/>
      <c r="AL30" s="55" t="s">
        <v>42</v>
      </c>
      <c r="AM30" s="65">
        <f>+IF(N30="NO APLICA","",MAX(E28:E63)-E30*0.2)</f>
        <v>0.36799999999999999</v>
      </c>
      <c r="AN30" s="66">
        <f>+IF(N30="NO APLICA","",D30)</f>
        <v>0.11</v>
      </c>
      <c r="AO30" s="66">
        <f>+IF(N30="NO APLICA","",AF30)</f>
        <v>0.83166666666666667</v>
      </c>
      <c r="AP30" s="67">
        <f>+B30</f>
        <v>1</v>
      </c>
      <c r="AQ30" s="47"/>
      <c r="AR30" s="341"/>
      <c r="AS30" s="342"/>
      <c r="AT30" s="314"/>
      <c r="AU30" s="314"/>
      <c r="AV30" s="314"/>
      <c r="AW30" s="314"/>
      <c r="AX30" s="314"/>
      <c r="AY30" s="314"/>
      <c r="AZ30" s="314"/>
      <c r="BA30" s="314"/>
      <c r="BB30" s="314"/>
      <c r="BC30" s="314"/>
      <c r="BD30" s="314"/>
      <c r="BE30" s="314"/>
      <c r="BF30" s="314"/>
      <c r="BG30" s="314"/>
      <c r="BH30" s="316"/>
      <c r="BI30" s="9"/>
      <c r="BJ30" s="9"/>
      <c r="BK30" s="9"/>
    </row>
    <row r="31" spans="1:63" ht="15" customHeight="1" x14ac:dyDescent="0.25">
      <c r="A31" s="9"/>
      <c r="B31" s="268"/>
      <c r="C31" s="270"/>
      <c r="D31" s="272"/>
      <c r="E31" s="220"/>
      <c r="F31" s="5">
        <f>+IF(C32="NO APLICA","NO APLICA",IF(E32=E30,E32*(D32-D30)/2,IF(E32&gt;E30,(E30*(D32-D30)/2)+(((E32-E30)/2)*(D32-D30)/4),IF(E32&lt;E30,(E30-((E30-E32)/2))*(D32-D30)/2+(((E30-E32)/2)*(D32-D30)/4)))))</f>
        <v>5.0600000000000006E-2</v>
      </c>
      <c r="G31" s="225"/>
      <c r="H31" s="273"/>
      <c r="I31" s="273"/>
      <c r="J31" s="17">
        <f>+IF(D32="NO APLICA","",D32)</f>
        <v>0.33</v>
      </c>
      <c r="K31" s="17">
        <f>+H32</f>
        <v>0.46</v>
      </c>
      <c r="L31" s="17">
        <f>+I32</f>
        <v>0</v>
      </c>
      <c r="M31" s="210"/>
      <c r="N31" s="287"/>
      <c r="O31" s="287"/>
      <c r="P31" s="287"/>
      <c r="Q31" s="26"/>
      <c r="R31" s="288"/>
      <c r="S31" s="288"/>
      <c r="T31" s="288"/>
      <c r="U31" s="30"/>
      <c r="V31" s="30"/>
      <c r="W31" s="290"/>
      <c r="X31" s="291"/>
      <c r="Y31" s="289"/>
      <c r="Z31" s="290"/>
      <c r="AA31" s="291"/>
      <c r="AB31" s="289"/>
      <c r="AC31" s="286"/>
      <c r="AD31" s="220"/>
      <c r="AE31" s="285"/>
      <c r="AF31" s="277"/>
      <c r="AG31" s="278"/>
      <c r="AH31" s="278"/>
      <c r="AI31" s="280"/>
      <c r="AJ31" s="266"/>
      <c r="AK31" s="49"/>
      <c r="AL31" s="55" t="s">
        <v>43</v>
      </c>
      <c r="AM31" s="65">
        <f>+IF(O30="NO APLICA","",MAX(E28:E63)-E30*0.6)</f>
        <v>0.184</v>
      </c>
      <c r="AN31" s="66">
        <f>+IF(O30="NO APLICA","",D30)</f>
        <v>0.11</v>
      </c>
      <c r="AO31" s="66">
        <f>+IF(O30="NO APLICA","",AG30)</f>
        <v>0.80533333333333335</v>
      </c>
      <c r="AP31" s="67">
        <f>+B30</f>
        <v>1</v>
      </c>
      <c r="AQ31" s="47"/>
      <c r="AR31" s="341"/>
      <c r="AS31" s="342"/>
      <c r="AT31" s="314"/>
      <c r="AU31" s="314"/>
      <c r="AV31" s="314"/>
      <c r="AW31" s="314"/>
      <c r="AX31" s="314"/>
      <c r="AY31" s="314"/>
      <c r="AZ31" s="314"/>
      <c r="BA31" s="314"/>
      <c r="BB31" s="314"/>
      <c r="BC31" s="314"/>
      <c r="BD31" s="314"/>
      <c r="BE31" s="314"/>
      <c r="BF31" s="314"/>
      <c r="BG31" s="314"/>
      <c r="BH31" s="316"/>
      <c r="BI31" s="9"/>
      <c r="BJ31" s="9"/>
      <c r="BK31" s="9"/>
    </row>
    <row r="32" spans="1:63" ht="15" customHeight="1" x14ac:dyDescent="0.25">
      <c r="A32" s="9"/>
      <c r="B32" s="267">
        <f>+IF(C32="NO APLICA","S/N",2)</f>
        <v>2</v>
      </c>
      <c r="C32" s="269">
        <f>+IF(C23&gt;0,C24,"NO APLICA")</f>
        <v>0.21833333333333335</v>
      </c>
      <c r="D32" s="271">
        <f>IF(C32="NO APLICA","NO APLICA",ROUND(C30+C32,2))</f>
        <v>0.33</v>
      </c>
      <c r="E32" s="219">
        <v>0.46</v>
      </c>
      <c r="F32" s="5">
        <f>+IF(C32="NO APLICA","NO APLICA",IF(E32=E30,E32*(D32-D30)/2,IF(E32&gt;E30,(E32-((E32-E30)/2))*(D32-D30)/2+(((E32-E30)/2)*(D32-D30)/4),IF(E32&lt;E30,(E32*(D32-D30)/2)+(((E30-E32)/2)*(D32-D30)/4)))))</f>
        <v>5.0600000000000006E-2</v>
      </c>
      <c r="G32" s="225">
        <f t="shared" ref="G32" si="3">+IF(F33="NO APLICA","NO APLICA",F32+F33)</f>
        <v>0.10120000000000001</v>
      </c>
      <c r="H32" s="273">
        <f t="shared" ref="H32" si="4">+IF(C32="NO APLICA","",MAX(E$28:E$63))</f>
        <v>0.46</v>
      </c>
      <c r="I32" s="273">
        <f t="shared" ref="I32" si="5">+IF(C32="NO APLICA","",H32-E32)</f>
        <v>0</v>
      </c>
      <c r="J32" s="23">
        <f>+IF(D34="NO APLICA","",IF(ROUND((D34-D32),1)=ROUND((D32-D30),1),(D32+D34)/2,D34))</f>
        <v>0.44000000000000006</v>
      </c>
      <c r="K32" s="23">
        <f>+IF(K31=K33,K31,"")</f>
        <v>0.46</v>
      </c>
      <c r="L32" s="23">
        <f>+IF(L33="","",(L31+L33)/2)</f>
        <v>0</v>
      </c>
      <c r="M32" s="210"/>
      <c r="N32" s="287">
        <f>+IF(F33="NO APLICA","NO APLICA",IF(E32&gt;0.2,E32*0.2,"NO APLICA"))</f>
        <v>9.2000000000000012E-2</v>
      </c>
      <c r="O32" s="287">
        <f>+IF(F33="NO APLICA","NO APLICA",IF(E32&gt;0,E32*0.6,"NO APLICA"))</f>
        <v>0.27600000000000002</v>
      </c>
      <c r="P32" s="287" t="str">
        <f>+IF(F33="NO APLICA","NO APLICA",IF(E32&gt;0.5,E32*0.8,"NO APLICA"))</f>
        <v>NO APLICA</v>
      </c>
      <c r="Q32" s="26"/>
      <c r="R32" s="288">
        <f>+IF(F33="NO APLICA","NO APLICA",IF(E32&gt;0.2,E32*0.8,"NO APLICA"))</f>
        <v>0.36800000000000005</v>
      </c>
      <c r="S32" s="288">
        <f>+IF(F33="NO APLICA","NO APLICA",IF(E32&gt;0,E32*0.4,"NO APLICA"))</f>
        <v>0.18400000000000002</v>
      </c>
      <c r="T32" s="288" t="str">
        <f>+IF(F33="NO APLICA","NO APLICA",IF(E32&gt;0.5,E32*0.2,"NO APLICA"))</f>
        <v>NO APLICA</v>
      </c>
      <c r="U32" s="30"/>
      <c r="V32" s="30"/>
      <c r="W32" s="290">
        <v>0.94599999999999995</v>
      </c>
      <c r="X32" s="291">
        <v>0.95799999999999996</v>
      </c>
      <c r="Y32" s="289">
        <v>0.95399999999999996</v>
      </c>
      <c r="Z32" s="290">
        <v>0.88400000000000001</v>
      </c>
      <c r="AA32" s="291">
        <v>0.88300000000000001</v>
      </c>
      <c r="AB32" s="289">
        <v>0.88900000000000001</v>
      </c>
      <c r="AC32" s="283"/>
      <c r="AD32" s="219"/>
      <c r="AE32" s="275"/>
      <c r="AF32" s="277">
        <f t="shared" ref="AF32" si="6">+IF(OR(ISNUMBER(W32),ISNUMBER(X32),ISNUMBER(Y32)),AVERAGE(W32:Y33),"NO APLICA")</f>
        <v>0.95266666666666655</v>
      </c>
      <c r="AG32" s="278">
        <f t="shared" ref="AG32" si="7">+IF(OR(ISNUMBER(Z32),ISNUMBER(AA32),ISNUMBER(AB32)),AVERAGE(Z32:AB33),"NO APLICA")</f>
        <v>0.88533333333333319</v>
      </c>
      <c r="AH32" s="278" t="str">
        <f t="shared" ref="AH32" si="8">+IF(OR(ISNUMBER(AC32),ISNUMBER(AD32),ISNUMBER(AE32)),AVERAGE(AC32:AE33),"NO APLICA")</f>
        <v>NO APLICA</v>
      </c>
      <c r="AI32" s="279">
        <f t="shared" ref="AI32" si="9">IF(F33="NO APLICA","NO APLICA",IF(E32&gt;0.5,IF(OR(ISTEXT(AF32),ISTEXT(AG32),ISTEXT(AH32)),"FALTAN DATOS",(AF32+2*AG32+AH32)/4),IF(E32&gt;0.2,IF(OR(ISTEXT(AF32),ISTEXT(AG32)),"FALTAN DATOS",(AF32+AG32)/2),IF(E32&gt;0,IF(ISTEXT(AG32),"FALTAN DATOS",AG32),"NO APLICA"))))</f>
        <v>0.91899999999999982</v>
      </c>
      <c r="AJ32" s="266">
        <f t="shared" ref="AJ32" si="10">+IF(OR(AI32="FALTAN DATOS",AI32="NO APLICA"),"NO APLICA",AI32*G32)</f>
        <v>9.3002799999999997E-2</v>
      </c>
      <c r="AK32" s="49"/>
      <c r="AL32" s="55" t="s">
        <v>44</v>
      </c>
      <c r="AM32" s="65" t="str">
        <f>+IF(P30="NO APLICA","",MAX(E28:E63)-E30*0.8)</f>
        <v/>
      </c>
      <c r="AN32" s="66" t="str">
        <f>+IF(P30="NO APLICA","",D30)</f>
        <v/>
      </c>
      <c r="AO32" s="66" t="str">
        <f>+IF(P30="NO APLICA","",AH30)</f>
        <v/>
      </c>
      <c r="AP32" s="67">
        <f>+B30</f>
        <v>1</v>
      </c>
      <c r="AQ32" s="47"/>
      <c r="AR32" s="341"/>
      <c r="AS32" s="342"/>
      <c r="AT32" s="314"/>
      <c r="AU32" s="314"/>
      <c r="AV32" s="314"/>
      <c r="AW32" s="314"/>
      <c r="AX32" s="314"/>
      <c r="AY32" s="314"/>
      <c r="AZ32" s="314"/>
      <c r="BA32" s="314"/>
      <c r="BB32" s="314"/>
      <c r="BC32" s="314"/>
      <c r="BD32" s="314"/>
      <c r="BE32" s="314"/>
      <c r="BF32" s="314"/>
      <c r="BG32" s="314"/>
      <c r="BH32" s="316"/>
      <c r="BI32" s="9"/>
      <c r="BJ32" s="9"/>
      <c r="BK32" s="9"/>
    </row>
    <row r="33" spans="1:63" ht="15" customHeight="1" x14ac:dyDescent="0.25">
      <c r="A33" s="9"/>
      <c r="B33" s="268"/>
      <c r="C33" s="270"/>
      <c r="D33" s="272"/>
      <c r="E33" s="220"/>
      <c r="F33" s="5">
        <f>+IF(C34="NO APLICA","NO APLICA",IF(C32=C34,IF(E34=E32,E34*(D34-D32)/2,IF(E34&gt;E32,(E32*(D34-D32)/2)+(((E34-E32)/2)*(D34-D32)/4),IF(E34&lt;E32,(E32-((E32-E34)/2))*(D34-D32)/2+(((E32-E34)/2)*(D34-D32)/4)))),IF(E34=E32,E34*2*(D34-D32)/2,IF(E34&gt;E32,E32*2*(D34-D32)/2+(((E34-E32))*2*(D34-D32)/4),IF(E34&lt;E32,E34*2*(D34-D32)/2+(((E32-E34))*2*(D34-D32)/4))))))</f>
        <v>5.0600000000000006E-2</v>
      </c>
      <c r="G33" s="225"/>
      <c r="H33" s="273"/>
      <c r="I33" s="273"/>
      <c r="J33" s="17">
        <f>+IF(D34="NO APLICA","",D34)</f>
        <v>0.55000000000000004</v>
      </c>
      <c r="K33" s="17">
        <f>+H34</f>
        <v>0.46</v>
      </c>
      <c r="L33" s="17">
        <f>+I34</f>
        <v>0</v>
      </c>
      <c r="M33" s="210"/>
      <c r="N33" s="287"/>
      <c r="O33" s="287"/>
      <c r="P33" s="287"/>
      <c r="Q33" s="26"/>
      <c r="R33" s="288"/>
      <c r="S33" s="288"/>
      <c r="T33" s="288"/>
      <c r="U33" s="30"/>
      <c r="V33" s="30"/>
      <c r="W33" s="290"/>
      <c r="X33" s="291"/>
      <c r="Y33" s="289"/>
      <c r="Z33" s="290"/>
      <c r="AA33" s="291"/>
      <c r="AB33" s="289"/>
      <c r="AC33" s="286"/>
      <c r="AD33" s="220"/>
      <c r="AE33" s="285"/>
      <c r="AF33" s="277"/>
      <c r="AG33" s="278"/>
      <c r="AH33" s="278"/>
      <c r="AI33" s="280"/>
      <c r="AJ33" s="266"/>
      <c r="AK33" s="49"/>
      <c r="AL33" s="55" t="s">
        <v>52</v>
      </c>
      <c r="AM33" s="68">
        <f>+IF(AM32="",IF(AM31="","",(AM29-AM34)*0.1+AM34),(AM29-AM34)*0.1+AM34)</f>
        <v>4.6000000000000006E-2</v>
      </c>
      <c r="AN33" s="68">
        <f>+IF(AN32="",IF(AN31="","",AN31),AN32)</f>
        <v>0.11</v>
      </c>
      <c r="AO33" s="68">
        <f>+IF(AO32="",IF(AO31="","",AO31*0.75),AO32*0.85)</f>
        <v>0.60399999999999998</v>
      </c>
      <c r="AP33" s="64">
        <f>+B30</f>
        <v>1</v>
      </c>
      <c r="AQ33" s="48"/>
      <c r="AR33" s="341" t="s">
        <v>53</v>
      </c>
      <c r="AS33" s="342">
        <f>+AG30</f>
        <v>0.80533333333333335</v>
      </c>
      <c r="AT33" s="314">
        <f>+AG32</f>
        <v>0.88533333333333319</v>
      </c>
      <c r="AU33" s="314">
        <f>+AG34</f>
        <v>0.94799999999999995</v>
      </c>
      <c r="AV33" s="314">
        <f>+AG36</f>
        <v>0.98833333333333329</v>
      </c>
      <c r="AW33" s="314">
        <f>+AG38</f>
        <v>0.95366666666666655</v>
      </c>
      <c r="AX33" s="314">
        <f>+AG40</f>
        <v>0.90233333333333332</v>
      </c>
      <c r="AY33" s="314" t="str">
        <f>+AG42</f>
        <v>NO APLICA</v>
      </c>
      <c r="AZ33" s="314" t="str">
        <f>+AG44</f>
        <v>NO APLICA</v>
      </c>
      <c r="BA33" s="314" t="str">
        <f>+AG46</f>
        <v>NO APLICA</v>
      </c>
      <c r="BB33" s="314" t="str">
        <f>+AG48</f>
        <v>NO APLICA</v>
      </c>
      <c r="BC33" s="314" t="str">
        <f>+AG50</f>
        <v>NO APLICA</v>
      </c>
      <c r="BD33" s="314" t="str">
        <f>+AG52</f>
        <v>NO APLICA</v>
      </c>
      <c r="BE33" s="314" t="str">
        <f>+AG54</f>
        <v>NO APLICA</v>
      </c>
      <c r="BF33" s="314" t="str">
        <f>+AG56</f>
        <v>NO APLICA</v>
      </c>
      <c r="BG33" s="314" t="str">
        <f>+AG58</f>
        <v>NO APLICA</v>
      </c>
      <c r="BH33" s="316" t="str">
        <f>+AG60</f>
        <v>NO APLICA</v>
      </c>
      <c r="BI33" s="9"/>
      <c r="BJ33" s="9"/>
      <c r="BK33" s="9"/>
    </row>
    <row r="34" spans="1:63" ht="15" customHeight="1" x14ac:dyDescent="0.25">
      <c r="A34" s="9"/>
      <c r="B34" s="267">
        <f>+IF(C34="NO APLICA","S/N",3)</f>
        <v>3</v>
      </c>
      <c r="C34" s="269">
        <f>+IF(C23&gt;0,C24,"NO APLICA")</f>
        <v>0.21833333333333335</v>
      </c>
      <c r="D34" s="271">
        <f>IF(C34="NO APLICA","NO APLICA",ROUND(C30+C32+C34,2))</f>
        <v>0.55000000000000004</v>
      </c>
      <c r="E34" s="219">
        <v>0.46</v>
      </c>
      <c r="F34" s="5">
        <f>+IF(C34="NO APLICA","NO APLICA",IF(E34=E32,E34*(D34-D32)/2,IF(E34&gt;E32,(E34-((E34-E32)/2))*(D34-D32)/2+(((E34-E32)/2)*(D34-D32)/4),IF(E34&lt;E32,(E34*(D34-D32)/2)+(((E32-E34)/2)*(D34-D32)/4)))))</f>
        <v>5.0600000000000006E-2</v>
      </c>
      <c r="G34" s="225">
        <f t="shared" ref="G34" si="11">+IF(F35="NO APLICA","NO APLICA",F34+F35)</f>
        <v>9.8900000000000002E-2</v>
      </c>
      <c r="H34" s="273">
        <f t="shared" ref="H34" si="12">+IF(C34="NO APLICA","",MAX(E$28:E$63))</f>
        <v>0.46</v>
      </c>
      <c r="I34" s="273">
        <f t="shared" ref="I34" si="13">+IF(C34="NO APLICA","",H34-E34)</f>
        <v>0</v>
      </c>
      <c r="J34" s="23">
        <f>+IF(D36="NO APLICA","",IF(ROUND((D36-D34),1)=ROUND((D34-D32),1),(D34+D36)/2,D36))</f>
        <v>0.65500000000000003</v>
      </c>
      <c r="K34" s="23">
        <f>+IF(K33=K35,K33,"")</f>
        <v>0.46</v>
      </c>
      <c r="L34" s="23">
        <f>+IF(L35="","",(L33+L35)/2)</f>
        <v>0</v>
      </c>
      <c r="M34" s="210"/>
      <c r="N34" s="287">
        <f>+IF(F35="NO APLICA","NO APLICA",IF(E34&gt;0.2,E34*0.2,"NO APLICA"))</f>
        <v>9.2000000000000012E-2</v>
      </c>
      <c r="O34" s="287">
        <f>+IF(F35="NO APLICA","NO APLICA",IF(E34&gt;0,E34*0.6,"NO APLICA"))</f>
        <v>0.27600000000000002</v>
      </c>
      <c r="P34" s="287" t="str">
        <f>+IF(F35="NO APLICA","NO APLICA",IF(E34&gt;0.5,E34*0.8,"NO APLICA"))</f>
        <v>NO APLICA</v>
      </c>
      <c r="Q34" s="26"/>
      <c r="R34" s="288">
        <f>+IF(F35="NO APLICA","NO APLICA",IF(E34&gt;0.2,E34*0.8,"NO APLICA"))</f>
        <v>0.36800000000000005</v>
      </c>
      <c r="S34" s="288">
        <f>+IF(F35="NO APLICA","NO APLICA",IF(E34&gt;0,E34*0.4,"NO APLICA"))</f>
        <v>0.18400000000000002</v>
      </c>
      <c r="T34" s="288" t="str">
        <f>+IF(F35="NO APLICA","NO APLICA",IF(E34&gt;0.5,E34*0.2,"NO APLICA"))</f>
        <v>NO APLICA</v>
      </c>
      <c r="U34" s="30"/>
      <c r="V34" s="30"/>
      <c r="W34" s="290">
        <v>0.98899999999999999</v>
      </c>
      <c r="X34" s="291">
        <v>0.98499999999999999</v>
      </c>
      <c r="Y34" s="289">
        <v>0.99399999999999999</v>
      </c>
      <c r="Z34" s="290">
        <v>0.95399999999999996</v>
      </c>
      <c r="AA34" s="291">
        <v>0.94699999999999995</v>
      </c>
      <c r="AB34" s="289">
        <v>0.94299999999999995</v>
      </c>
      <c r="AC34" s="283"/>
      <c r="AD34" s="219"/>
      <c r="AE34" s="275"/>
      <c r="AF34" s="277">
        <f t="shared" ref="AF34" si="14">+IF(OR(ISNUMBER(W34),ISNUMBER(X34),ISNUMBER(Y34)),AVERAGE(W34:Y35),"NO APLICA")</f>
        <v>0.98933333333333329</v>
      </c>
      <c r="AG34" s="278">
        <f t="shared" ref="AG34" si="15">+IF(OR(ISNUMBER(Z34),ISNUMBER(AA34),ISNUMBER(AB34)),AVERAGE(Z34:AB35),"NO APLICA")</f>
        <v>0.94799999999999995</v>
      </c>
      <c r="AH34" s="278" t="str">
        <f t="shared" ref="AH34" si="16">+IF(OR(ISNUMBER(AC34),ISNUMBER(AD34),ISNUMBER(AE34)),AVERAGE(AC34:AE35),"NO APLICA")</f>
        <v>NO APLICA</v>
      </c>
      <c r="AI34" s="279">
        <f t="shared" ref="AI34" si="17">IF(F35="NO APLICA","NO APLICA",IF(E34&gt;0.5,IF(OR(ISTEXT(AF34),ISTEXT(AG34),ISTEXT(AH34)),"FALTAN DATOS",(AF34+2*AG34+AH34)/4),IF(E34&gt;0.2,IF(OR(ISTEXT(AF34),ISTEXT(AG34)),"FALTAN DATOS",(AF34+AG34)/2),IF(E34&gt;0,IF(ISTEXT(AG34),"FALTAN DATOS",AG34),"NO APLICA"))))</f>
        <v>0.96866666666666656</v>
      </c>
      <c r="AJ34" s="266">
        <f t="shared" ref="AJ34" si="18">+IF(OR(AI34="FALTAN DATOS",AI34="NO APLICA"),"NO APLICA",AI34*G34)</f>
        <v>9.580113333333333E-2</v>
      </c>
      <c r="AK34" s="49"/>
      <c r="AL34" s="56" t="s">
        <v>45</v>
      </c>
      <c r="AM34" s="69">
        <f>+IF(O30="NO APLICA","",MAX(E28:E63)-E30)</f>
        <v>0</v>
      </c>
      <c r="AN34" s="70">
        <f>+IF(O30="NO APLICA","",D30)</f>
        <v>0.11</v>
      </c>
      <c r="AO34" s="70">
        <f>+IF(O30="NO APLICA","",0)</f>
        <v>0</v>
      </c>
      <c r="AP34" s="71">
        <f>+B30</f>
        <v>1</v>
      </c>
      <c r="AQ34" s="47"/>
      <c r="AR34" s="341"/>
      <c r="AS34" s="342"/>
      <c r="AT34" s="314"/>
      <c r="AU34" s="314"/>
      <c r="AV34" s="314"/>
      <c r="AW34" s="314"/>
      <c r="AX34" s="314"/>
      <c r="AY34" s="314"/>
      <c r="AZ34" s="314"/>
      <c r="BA34" s="314"/>
      <c r="BB34" s="314"/>
      <c r="BC34" s="314"/>
      <c r="BD34" s="314"/>
      <c r="BE34" s="314"/>
      <c r="BF34" s="314"/>
      <c r="BG34" s="314"/>
      <c r="BH34" s="316"/>
      <c r="BI34" s="9"/>
      <c r="BJ34" s="9"/>
      <c r="BK34" s="9"/>
    </row>
    <row r="35" spans="1:63" ht="15" customHeight="1" x14ac:dyDescent="0.25">
      <c r="A35" s="9"/>
      <c r="B35" s="268"/>
      <c r="C35" s="270"/>
      <c r="D35" s="272"/>
      <c r="E35" s="220"/>
      <c r="F35" s="159">
        <f>+IF(C36="NO APLICA","NO APLICA",IF(C34=C36,IF(E36=E34,E36*(D36-D34)/2,IF(E36&gt;E34,(E34*(D36-D34)/2)+(((E36-E34)/2)*(D36-D34)/4),IF(E36&lt;E34,(E34-((E34-E36)/2))*(D36-D34)/2+(((E34-E36)/2)*(D36-D34)/4)))),IF(E36=E34,E36*2*(D36-D34)/2,IF(E36&gt;E34,E34*2*(D36-D34)/2+(((E36-E34))*2*(D36-D34)/4),IF(E36&lt;E34,E36*2*(D36-D34)/2+(((E34-E36))*2*(D36-D34)/4))))))</f>
        <v>4.8299999999999996E-2</v>
      </c>
      <c r="G35" s="225"/>
      <c r="H35" s="273"/>
      <c r="I35" s="273"/>
      <c r="J35" s="17">
        <f>+IF(D36="NO APLICA","",D36)</f>
        <v>0.76</v>
      </c>
      <c r="K35" s="17">
        <f>+H36</f>
        <v>0.46</v>
      </c>
      <c r="L35" s="17">
        <f>+I36</f>
        <v>0</v>
      </c>
      <c r="M35" s="210"/>
      <c r="N35" s="287"/>
      <c r="O35" s="287"/>
      <c r="P35" s="287"/>
      <c r="Q35" s="26"/>
      <c r="R35" s="288"/>
      <c r="S35" s="288"/>
      <c r="T35" s="288"/>
      <c r="U35" s="30"/>
      <c r="V35" s="30"/>
      <c r="W35" s="290"/>
      <c r="X35" s="291"/>
      <c r="Y35" s="289"/>
      <c r="Z35" s="290"/>
      <c r="AA35" s="291"/>
      <c r="AB35" s="289"/>
      <c r="AC35" s="286"/>
      <c r="AD35" s="220"/>
      <c r="AE35" s="285"/>
      <c r="AF35" s="277"/>
      <c r="AG35" s="278"/>
      <c r="AH35" s="278"/>
      <c r="AI35" s="280"/>
      <c r="AJ35" s="266"/>
      <c r="AK35" s="49"/>
      <c r="AL35" s="54" t="s">
        <v>41</v>
      </c>
      <c r="AM35" s="62">
        <f>+IF(O32="NO APLICA","",MAX(E28:E63))</f>
        <v>0.46</v>
      </c>
      <c r="AN35" s="62">
        <f>+IF(AN36="",IF(AN37="","",AN37),AN36)</f>
        <v>0.33</v>
      </c>
      <c r="AO35" s="62">
        <f>+IF(AO36="",IF(AO37="","",AO37*1.25),AO36*1.15)</f>
        <v>1.0955666666666664</v>
      </c>
      <c r="AP35" s="63">
        <f>+B32</f>
        <v>2</v>
      </c>
      <c r="AQ35" s="47"/>
      <c r="AR35" s="341"/>
      <c r="AS35" s="342"/>
      <c r="AT35" s="314"/>
      <c r="AU35" s="314"/>
      <c r="AV35" s="314"/>
      <c r="AW35" s="314"/>
      <c r="AX35" s="314"/>
      <c r="AY35" s="314"/>
      <c r="AZ35" s="314"/>
      <c r="BA35" s="314"/>
      <c r="BB35" s="314"/>
      <c r="BC35" s="314"/>
      <c r="BD35" s="314"/>
      <c r="BE35" s="314"/>
      <c r="BF35" s="314"/>
      <c r="BG35" s="314"/>
      <c r="BH35" s="316"/>
      <c r="BI35" s="9"/>
      <c r="BJ35" s="9"/>
      <c r="BK35" s="9"/>
    </row>
    <row r="36" spans="1:63" ht="15" customHeight="1" x14ac:dyDescent="0.25">
      <c r="A36" s="9"/>
      <c r="B36" s="267">
        <f>+IF(C36="NO APLICA","S/N",4)</f>
        <v>4</v>
      </c>
      <c r="C36" s="269">
        <f>+IF(C23&gt;0,C24,"NO APLICA")</f>
        <v>0.21833333333333335</v>
      </c>
      <c r="D36" s="271">
        <f>IF(C36="NO APLICA","NO APLICA",ROUND(C30+C32+C34+C36,2))</f>
        <v>0.76</v>
      </c>
      <c r="E36" s="219">
        <v>0.46</v>
      </c>
      <c r="F36" s="5">
        <f>+IF(C36="NO APLICA","NO APLICA",IF(E36=E34,E36*(D36-D34)/2,IF(E36&gt;E34,(E36-((E36-E34)/2))*(D36-D34)/2+(((E36-E34)/2)*(D36-D34)/4),IF(E36&lt;E34,(E36*(D36-D34)/2)+(((E34-E36)/2)*(D36-D34)/4)))))</f>
        <v>4.8299999999999996E-2</v>
      </c>
      <c r="G36" s="225">
        <f t="shared" ref="G36" si="19">+IF(F37="NO APLICA","NO APLICA",F36+F37)</f>
        <v>9.8899999999999988E-2</v>
      </c>
      <c r="H36" s="273">
        <f t="shared" ref="H36" si="20">+IF(C36="NO APLICA","",MAX(E$28:E$63))</f>
        <v>0.46</v>
      </c>
      <c r="I36" s="273">
        <f t="shared" ref="I36" si="21">+IF(C36="NO APLICA","",H36-E36)</f>
        <v>0</v>
      </c>
      <c r="J36" s="23">
        <f>+IF(D38="NO APLICA","",IF(ROUND((D38-D36),1)=ROUND((D36-D34),1),(D36+D38)/2,D38))</f>
        <v>0.87</v>
      </c>
      <c r="K36" s="23">
        <f>+IF(K35=K34,K35,"")</f>
        <v>0.46</v>
      </c>
      <c r="L36" s="23">
        <f>+IF(C23=4,I38,IF(L37="","",(L35+L37)/2))</f>
        <v>0</v>
      </c>
      <c r="M36" s="210"/>
      <c r="N36" s="287">
        <f>+IF(F37="NO APLICA","NO APLICA",IF(E36&gt;0.2,E36*0.2,"NO APLICA"))</f>
        <v>9.2000000000000012E-2</v>
      </c>
      <c r="O36" s="287">
        <f>+IF(F37="NO APLICA","NO APLICA",IF(E36&gt;0,E36*0.6,"NO APLICA"))</f>
        <v>0.27600000000000002</v>
      </c>
      <c r="P36" s="287" t="str">
        <f>+IF(F37="NO APLICA","NO APLICA",IF(E36&gt;0.5,E36*0.8,"NO APLICA"))</f>
        <v>NO APLICA</v>
      </c>
      <c r="Q36" s="26"/>
      <c r="R36" s="288">
        <f>+IF(F37="NO APLICA","NO APLICA",IF(E36&gt;0.2,E36*0.8,"NO APLICA"))</f>
        <v>0.36800000000000005</v>
      </c>
      <c r="S36" s="288">
        <f>+IF(F37="NO APLICA","NO APLICA",IF(E36&gt;0,E36*0.4,"NO APLICA"))</f>
        <v>0.18400000000000002</v>
      </c>
      <c r="T36" s="288" t="str">
        <f>+IF(F37="NO APLICA","NO APLICA",IF(E36&gt;0.5,E36*0.2,"NO APLICA"))</f>
        <v>NO APLICA</v>
      </c>
      <c r="U36" s="30"/>
      <c r="V36" s="30"/>
      <c r="W36" s="290">
        <v>1.0009999999999999</v>
      </c>
      <c r="X36" s="291">
        <v>0.999</v>
      </c>
      <c r="Y36" s="289">
        <v>1.014</v>
      </c>
      <c r="Z36" s="290">
        <v>0.98299999999999998</v>
      </c>
      <c r="AA36" s="291">
        <v>0.98799999999999999</v>
      </c>
      <c r="AB36" s="289">
        <v>0.99399999999999999</v>
      </c>
      <c r="AC36" s="283"/>
      <c r="AD36" s="219"/>
      <c r="AE36" s="275"/>
      <c r="AF36" s="277">
        <f t="shared" ref="AF36" si="22">+IF(OR(ISNUMBER(W36),ISNUMBER(X36),ISNUMBER(Y36)),AVERAGE(W36:Y37),"NO APLICA")</f>
        <v>1.0046666666666668</v>
      </c>
      <c r="AG36" s="278">
        <f t="shared" ref="AG36" si="23">+IF(OR(ISNUMBER(Z36),ISNUMBER(AA36),ISNUMBER(AB36)),AVERAGE(Z36:AB37),"NO APLICA")</f>
        <v>0.98833333333333329</v>
      </c>
      <c r="AH36" s="278" t="str">
        <f t="shared" ref="AH36" si="24">+IF(OR(ISNUMBER(AC36),ISNUMBER(AD36),ISNUMBER(AE36)),AVERAGE(AC36:AE37),"NO APLICA")</f>
        <v>NO APLICA</v>
      </c>
      <c r="AI36" s="279">
        <f t="shared" ref="AI36" si="25">IF(F37="NO APLICA","NO APLICA",IF(E36&gt;0.5,IF(OR(ISTEXT(AF36),ISTEXT(AG36),ISTEXT(AH36)),"FALTAN DATOS",(AF36+2*AG36+AH36)/4),IF(E36&gt;0.2,IF(OR(ISTEXT(AF36),ISTEXT(AG36)),"FALTAN DATOS",(AF36+AG36)/2),IF(E36&gt;0,IF(ISTEXT(AG36),"FALTAN DATOS",AG36),"NO APLICA"))))</f>
        <v>0.99650000000000005</v>
      </c>
      <c r="AJ36" s="266">
        <f t="shared" ref="AJ36" si="26">+IF(OR(AI36="FALTAN DATOS",AI36="NO APLICA"),"NO APLICA",AI36*G36)</f>
        <v>9.8553849999999998E-2</v>
      </c>
      <c r="AK36" s="49"/>
      <c r="AL36" s="55" t="s">
        <v>42</v>
      </c>
      <c r="AM36" s="66">
        <f>+IF(N32="NO APLICA","",MAX(E28:E63)-E32*0.2)</f>
        <v>0.36799999999999999</v>
      </c>
      <c r="AN36" s="66">
        <f>+IF(N32="NO APLICA","",D32)</f>
        <v>0.33</v>
      </c>
      <c r="AO36" s="66">
        <f>+IF(N32="NO APLICA","",AF32)</f>
        <v>0.95266666666666655</v>
      </c>
      <c r="AP36" s="67">
        <f>+B32</f>
        <v>2</v>
      </c>
      <c r="AQ36" s="47"/>
      <c r="AR36" s="341"/>
      <c r="AS36" s="342"/>
      <c r="AT36" s="314"/>
      <c r="AU36" s="314"/>
      <c r="AV36" s="314"/>
      <c r="AW36" s="314"/>
      <c r="AX36" s="314"/>
      <c r="AY36" s="314"/>
      <c r="AZ36" s="314"/>
      <c r="BA36" s="314"/>
      <c r="BB36" s="314"/>
      <c r="BC36" s="314"/>
      <c r="BD36" s="314"/>
      <c r="BE36" s="314"/>
      <c r="BF36" s="314"/>
      <c r="BG36" s="314"/>
      <c r="BH36" s="316"/>
      <c r="BI36" s="9"/>
      <c r="BJ36" s="9"/>
      <c r="BK36" s="9"/>
    </row>
    <row r="37" spans="1:63" ht="15" customHeight="1" x14ac:dyDescent="0.25">
      <c r="A37" s="9"/>
      <c r="B37" s="268"/>
      <c r="C37" s="270"/>
      <c r="D37" s="272"/>
      <c r="E37" s="220"/>
      <c r="F37" s="159">
        <f>+IF(C38="NO APLICA","NO APLICA",IF(C36=C38,IF(E38=E36,E38*(D38-D36)/2,IF(E38&gt;E36,(E36*(D38-D36)/2)+(((E38-E36)/2)*(D38-D36)/4),IF(E38&lt;E36,(E36-((E36-E38)/2))*(D38-D36)/2+(((E36-E38)/2)*(D38-D36)/4)))),IF(E38=E36,E38*2*(D38-D36)/2,IF(E38&gt;E36,E36*2*(D38-D36)/2+(((E38-E36))*2*(D38-D36)/4),IF(E38&lt;E36,E38*2*(D38-D36)/2+(((E36-E38))*2*(D38-D36)/4))))))</f>
        <v>5.0599999999999999E-2</v>
      </c>
      <c r="G37" s="225"/>
      <c r="H37" s="273"/>
      <c r="I37" s="273"/>
      <c r="J37" s="17">
        <f>+IF(D40="NO APLICA","",D38)</f>
        <v>0.98</v>
      </c>
      <c r="K37" s="17">
        <f>IF(C40="NO APLICA","",H38)</f>
        <v>0.46</v>
      </c>
      <c r="L37" s="17">
        <f>IF(C40="NO APLICA","",I38)</f>
        <v>0</v>
      </c>
      <c r="M37" s="210"/>
      <c r="N37" s="287"/>
      <c r="O37" s="287"/>
      <c r="P37" s="287"/>
      <c r="Q37" s="26"/>
      <c r="R37" s="288"/>
      <c r="S37" s="288"/>
      <c r="T37" s="288"/>
      <c r="U37" s="30"/>
      <c r="V37" s="30"/>
      <c r="W37" s="290"/>
      <c r="X37" s="291"/>
      <c r="Y37" s="289"/>
      <c r="Z37" s="290"/>
      <c r="AA37" s="291"/>
      <c r="AB37" s="289"/>
      <c r="AC37" s="286"/>
      <c r="AD37" s="220"/>
      <c r="AE37" s="285"/>
      <c r="AF37" s="277"/>
      <c r="AG37" s="278"/>
      <c r="AH37" s="278"/>
      <c r="AI37" s="280"/>
      <c r="AJ37" s="266"/>
      <c r="AK37" s="49"/>
      <c r="AL37" s="55" t="s">
        <v>43</v>
      </c>
      <c r="AM37" s="66">
        <f>+IF(O32="NO APLICA","",MAX(E28:E63)-E32*0.6)</f>
        <v>0.184</v>
      </c>
      <c r="AN37" s="66">
        <f>+IF(O32="NO APLICA","",D32)</f>
        <v>0.33</v>
      </c>
      <c r="AO37" s="66">
        <f>+IF(O32="NO APLICA","",AG32)</f>
        <v>0.88533333333333319</v>
      </c>
      <c r="AP37" s="67">
        <f>+B32</f>
        <v>2</v>
      </c>
      <c r="AQ37" s="45"/>
      <c r="AR37" s="341">
        <v>0.8</v>
      </c>
      <c r="AS37" s="342" t="str">
        <f>+AH30</f>
        <v>NO APLICA</v>
      </c>
      <c r="AT37" s="314" t="str">
        <f>+AH32</f>
        <v>NO APLICA</v>
      </c>
      <c r="AU37" s="314" t="str">
        <f>+AH34</f>
        <v>NO APLICA</v>
      </c>
      <c r="AV37" s="314" t="str">
        <f>+AH36</f>
        <v>NO APLICA</v>
      </c>
      <c r="AW37" s="314" t="str">
        <f>+AH38</f>
        <v>NO APLICA</v>
      </c>
      <c r="AX37" s="314" t="str">
        <f>+AH40</f>
        <v>NO APLICA</v>
      </c>
      <c r="AY37" s="314" t="str">
        <f>+AH42</f>
        <v>NO APLICA</v>
      </c>
      <c r="AZ37" s="314" t="str">
        <f>+AH44</f>
        <v>NO APLICA</v>
      </c>
      <c r="BA37" s="314" t="str">
        <f>+AH46</f>
        <v>NO APLICA</v>
      </c>
      <c r="BB37" s="314" t="str">
        <f>+AH48</f>
        <v>NO APLICA</v>
      </c>
      <c r="BC37" s="314" t="str">
        <f>+AH50</f>
        <v>NO APLICA</v>
      </c>
      <c r="BD37" s="346" t="str">
        <f>+AH52</f>
        <v>NO APLICA</v>
      </c>
      <c r="BE37" s="314" t="str">
        <f>+AH54</f>
        <v>NO APLICA</v>
      </c>
      <c r="BF37" s="346" t="str">
        <f>+AH56</f>
        <v>NO APLICA</v>
      </c>
      <c r="BG37" s="346" t="str">
        <f>+AH58</f>
        <v>NO APLICA</v>
      </c>
      <c r="BH37" s="348" t="str">
        <f>+AH60</f>
        <v>NO APLICA</v>
      </c>
      <c r="BI37" s="9"/>
      <c r="BJ37" s="9"/>
      <c r="BK37" s="9"/>
    </row>
    <row r="38" spans="1:63" ht="15" customHeight="1" x14ac:dyDescent="0.25">
      <c r="A38" s="9"/>
      <c r="B38" s="267">
        <f>+IF(C38="NO APLICA","S/N",IF(C36&gt;C38,"Final",5))</f>
        <v>5</v>
      </c>
      <c r="C38" s="269">
        <f>+IF(C23=4,C24/2,IF(C23&gt;4,C24,"NO APLICA"))</f>
        <v>0.21833333333333335</v>
      </c>
      <c r="D38" s="271">
        <f>IF(C38="NO APLICA","NO APLICA",ROUND(C30+C32+C34+C36+C38,2))</f>
        <v>0.98</v>
      </c>
      <c r="E38" s="219">
        <v>0.46</v>
      </c>
      <c r="F38" s="5">
        <f>+IF(C38="NO APLICA","NO APLICA",IF(E38=E36,E38*(D38-D36)/2,IF(E38&gt;E36,(E38-((E38-E36)/2))*(D38-D36)/2+(((E38-E36)/2)*(D38-D36)/4),IF(E38&lt;E36,(E38*(D38-D36)/2)+(((E36-E38)/2)*(D38-D36)/4)))))</f>
        <v>5.0599999999999999E-2</v>
      </c>
      <c r="G38" s="225">
        <f t="shared" ref="G38" si="27">+IF(F39="NO APLICA","NO APLICA",F38+F39)</f>
        <v>0.1012</v>
      </c>
      <c r="H38" s="273">
        <f t="shared" ref="H38" si="28">+IF(C38="NO APLICA","",MAX(E$28:E$63))</f>
        <v>0.46</v>
      </c>
      <c r="I38" s="273">
        <f t="shared" ref="I38" si="29">+IF(C38="NO APLICA","",H38-E38)</f>
        <v>0</v>
      </c>
      <c r="J38" s="23">
        <f>+IF(D40="NO APLICA","",IF(ROUND((D40-D38),1)=ROUND((D38-D36),1),(D38+D40)/2,D40))</f>
        <v>1.0899999999999999</v>
      </c>
      <c r="K38" s="23">
        <f>+IF(K37=K36,K37,"")</f>
        <v>0.46</v>
      </c>
      <c r="L38" s="23">
        <f>+IF(L39="","",(L37+L39)/2)</f>
        <v>0</v>
      </c>
      <c r="M38" s="210"/>
      <c r="N38" s="287">
        <f>+IF(F39="NO APLICA","NO APLICA",IF(E38&gt;0.2,E38*0.2,"NO APLICA"))</f>
        <v>9.2000000000000012E-2</v>
      </c>
      <c r="O38" s="287">
        <f>+IF(F39="NO APLICA","NO APLICA",IF(E38&gt;0,E38*0.6,"NO APLICA"))</f>
        <v>0.27600000000000002</v>
      </c>
      <c r="P38" s="287" t="str">
        <f>+IF(F39="NO APLICA","NO APLICA",IF(E38&gt;0.5,E38*0.8,"NO APLICA"))</f>
        <v>NO APLICA</v>
      </c>
      <c r="Q38" s="26"/>
      <c r="R38" s="288">
        <f>+IF(F39="NO APLICA","NO APLICA",IF(E38&gt;0.2,E38*0.8,"NO APLICA"))</f>
        <v>0.36800000000000005</v>
      </c>
      <c r="S38" s="288">
        <f>+IF(F39="NO APLICA","NO APLICA",IF(E38&gt;0,E38*0.4,"NO APLICA"))</f>
        <v>0.18400000000000002</v>
      </c>
      <c r="T38" s="288" t="str">
        <f>+IF(F39="NO APLICA","NO APLICA",IF(E38&gt;0.5,E38*0.2,"NO APLICA"))</f>
        <v>NO APLICA</v>
      </c>
      <c r="U38" s="30"/>
      <c r="V38" s="30"/>
      <c r="W38" s="290">
        <v>1.024</v>
      </c>
      <c r="X38" s="291">
        <v>1.024</v>
      </c>
      <c r="Y38" s="289">
        <v>1.0109999999999999</v>
      </c>
      <c r="Z38" s="290">
        <v>0.94699999999999995</v>
      </c>
      <c r="AA38" s="291">
        <v>0.95499999999999996</v>
      </c>
      <c r="AB38" s="289">
        <v>0.95899999999999996</v>
      </c>
      <c r="AC38" s="283"/>
      <c r="AD38" s="219"/>
      <c r="AE38" s="275"/>
      <c r="AF38" s="277">
        <f t="shared" ref="AF38" si="30">+IF(OR(ISNUMBER(W38),ISNUMBER(X38),ISNUMBER(Y38)),AVERAGE(W38:Y39),"NO APLICA")</f>
        <v>1.0196666666666667</v>
      </c>
      <c r="AG38" s="278">
        <f t="shared" ref="AG38" si="31">+IF(OR(ISNUMBER(Z38),ISNUMBER(AA38),ISNUMBER(AB38)),AVERAGE(Z38:AB39),"NO APLICA")</f>
        <v>0.95366666666666655</v>
      </c>
      <c r="AH38" s="278" t="str">
        <f t="shared" ref="AH38" si="32">+IF(OR(ISNUMBER(AC38),ISNUMBER(AD38),ISNUMBER(AE38)),AVERAGE(AC38:AE39),"NO APLICA")</f>
        <v>NO APLICA</v>
      </c>
      <c r="AI38" s="279">
        <f t="shared" ref="AI38" si="33">IF(F39="NO APLICA","NO APLICA",IF(E38&gt;0.5,IF(OR(ISTEXT(AF38),ISTEXT(AG38),ISTEXT(AH38)),"FALTAN DATOS",(AF38+2*AG38+AH38)/4),IF(E38&gt;0.2,IF(OR(ISTEXT(AF38),ISTEXT(AG38)),"FALTAN DATOS",(AF38+AG38)/2),IF(E38&gt;0,IF(ISTEXT(AG38),"FALTAN DATOS",AG38),"NO APLICA"))))</f>
        <v>0.98666666666666658</v>
      </c>
      <c r="AJ38" s="266">
        <f t="shared" ref="AJ38" si="34">+IF(OR(AI38="FALTAN DATOS",AI38="NO APLICA"),"NO APLICA",AI38*G38)</f>
        <v>9.9850666666666657E-2</v>
      </c>
      <c r="AK38" s="49"/>
      <c r="AL38" s="55" t="s">
        <v>44</v>
      </c>
      <c r="AM38" s="66" t="str">
        <f>+IF(P32="NO APLICA","",MAX(E28:E63)-E32*0.8)</f>
        <v/>
      </c>
      <c r="AN38" s="66" t="str">
        <f>+IF(P32="NO APLICA","",D32)</f>
        <v/>
      </c>
      <c r="AO38" s="66" t="str">
        <f>+IF(P32="NO APLICA","",AH32)</f>
        <v/>
      </c>
      <c r="AP38" s="67">
        <f>+B32</f>
        <v>2</v>
      </c>
      <c r="AQ38" s="45"/>
      <c r="AR38" s="341"/>
      <c r="AS38" s="342"/>
      <c r="AT38" s="314"/>
      <c r="AU38" s="314"/>
      <c r="AV38" s="314"/>
      <c r="AW38" s="314"/>
      <c r="AX38" s="314"/>
      <c r="AY38" s="314"/>
      <c r="AZ38" s="314"/>
      <c r="BA38" s="314"/>
      <c r="BB38" s="314"/>
      <c r="BC38" s="314"/>
      <c r="BD38" s="346"/>
      <c r="BE38" s="314"/>
      <c r="BF38" s="346"/>
      <c r="BG38" s="346"/>
      <c r="BH38" s="348"/>
      <c r="BI38" s="9"/>
      <c r="BJ38" s="9"/>
      <c r="BK38" s="9"/>
    </row>
    <row r="39" spans="1:63" ht="15" customHeight="1" x14ac:dyDescent="0.25">
      <c r="A39" s="9"/>
      <c r="B39" s="268"/>
      <c r="C39" s="270"/>
      <c r="D39" s="272"/>
      <c r="E39" s="220"/>
      <c r="F39" s="159">
        <f>+IF(C40="NO APLICA","NO APLICA",IF(C38=C40,IF(E40=E38,E40*(D40-D38)/2,IF(E40&gt;E38,(E38*(D40-D38)/2)+(((E40-E38)/2)*(D40-D38)/4),IF(E40&lt;E38,(E38-((E38-E40)/2))*(D40-D38)/2+(((E38-E40)/2)*(D40-D38)/4)))),IF(E40=E38,E40*2*(D40-D38)/2,IF(E40&gt;E38,E38*2*(D40-D38)/2+(((E40-E38))*2*(D40-D38)/4),IF(E40&lt;E38,E40*2*(D40-D38)/2+(((E38-E40))*2*(D40-D38)/4))))))</f>
        <v>5.0599999999999999E-2</v>
      </c>
      <c r="G39" s="225"/>
      <c r="H39" s="273"/>
      <c r="I39" s="273"/>
      <c r="J39" s="17">
        <f>+IF(D40="NO APLICA","",D40)</f>
        <v>1.2</v>
      </c>
      <c r="K39" s="17">
        <f>+H40</f>
        <v>0.46</v>
      </c>
      <c r="L39" s="17">
        <f>+I40</f>
        <v>0</v>
      </c>
      <c r="M39" s="210"/>
      <c r="N39" s="287"/>
      <c r="O39" s="287"/>
      <c r="P39" s="287"/>
      <c r="Q39" s="26"/>
      <c r="R39" s="288"/>
      <c r="S39" s="288"/>
      <c r="T39" s="288"/>
      <c r="U39" s="30"/>
      <c r="V39" s="30"/>
      <c r="W39" s="290"/>
      <c r="X39" s="291"/>
      <c r="Y39" s="289"/>
      <c r="Z39" s="290"/>
      <c r="AA39" s="291"/>
      <c r="AB39" s="289"/>
      <c r="AC39" s="286"/>
      <c r="AD39" s="220"/>
      <c r="AE39" s="285"/>
      <c r="AF39" s="277"/>
      <c r="AG39" s="278"/>
      <c r="AH39" s="278"/>
      <c r="AI39" s="280"/>
      <c r="AJ39" s="266"/>
      <c r="AK39" s="49"/>
      <c r="AL39" s="55" t="s">
        <v>52</v>
      </c>
      <c r="AM39" s="68">
        <f>+IF(AM38="",IF(AM37="","",(AM35-AM40)*0.1+AM40),(AM35-AM40)*0.1+AM40)</f>
        <v>4.6000000000000006E-2</v>
      </c>
      <c r="AN39" s="68">
        <f>+IF(AN38="",IF(AN37="","",AN37),AN38)</f>
        <v>0.33</v>
      </c>
      <c r="AO39" s="68">
        <f>+IF(AO38="",IF(AO37="","",AO37*0.75),AO38*0.85)</f>
        <v>0.66399999999999992</v>
      </c>
      <c r="AP39" s="64">
        <f>+B32</f>
        <v>2</v>
      </c>
      <c r="AQ39" s="9"/>
      <c r="AR39" s="341"/>
      <c r="AS39" s="342"/>
      <c r="AT39" s="314"/>
      <c r="AU39" s="314"/>
      <c r="AV39" s="314"/>
      <c r="AW39" s="314"/>
      <c r="AX39" s="314"/>
      <c r="AY39" s="314"/>
      <c r="AZ39" s="314"/>
      <c r="BA39" s="314"/>
      <c r="BB39" s="314"/>
      <c r="BC39" s="314"/>
      <c r="BD39" s="346"/>
      <c r="BE39" s="314"/>
      <c r="BF39" s="346"/>
      <c r="BG39" s="346"/>
      <c r="BH39" s="348"/>
      <c r="BI39" s="9"/>
      <c r="BJ39" s="9"/>
      <c r="BK39" s="9"/>
    </row>
    <row r="40" spans="1:63" ht="15" customHeight="1" x14ac:dyDescent="0.25">
      <c r="A40" s="9"/>
      <c r="B40" s="267">
        <f>+IF(C40="NO APLICA","S/N",6)</f>
        <v>6</v>
      </c>
      <c r="C40" s="269">
        <f>+IF(C23&gt;4,C24,"NO APLICA")</f>
        <v>0.21833333333333335</v>
      </c>
      <c r="D40" s="271">
        <f>IF(C40="NO APLICA","NO APLICA",ROUND(C30+C32+C34+C36+C38+C40,2))</f>
        <v>1.2</v>
      </c>
      <c r="E40" s="219">
        <v>0.46</v>
      </c>
      <c r="F40" s="5">
        <f>+IF(C40="NO APLICA","NO APLICA",IF(E40=E38,E40*(D40-D38)/2,IF(E40&gt;E38,(E40-((E40-E38)/2))*(D40-D38)/2+(((E40-E38)/2)*(D40-D38)/4),IF(E40&lt;E38,(E40*(D40-D38)/2)+(((E38-E40)/2)*(D40-D38)/4)))))</f>
        <v>5.0599999999999999E-2</v>
      </c>
      <c r="G40" s="225">
        <f t="shared" ref="G40" si="35">+IF(F41="NO APLICA","NO APLICA",F40+F41)</f>
        <v>0.10120000000000004</v>
      </c>
      <c r="H40" s="273">
        <f>+IF(C40="NO APLICA","",MAX(E$28:E$63))</f>
        <v>0.46</v>
      </c>
      <c r="I40" s="273">
        <f t="shared" ref="I40" si="36">+IF(C40="NO APLICA","",H40-E40)</f>
        <v>0</v>
      </c>
      <c r="J40" s="23">
        <f>+IF(D42="NO APLICA","",IF(ROUND((D42-D40),1)=ROUND((D40-D38),1),(D40+D42)/2,D42))</f>
        <v>1.31</v>
      </c>
      <c r="K40" s="23">
        <f>+IF(K39=K38,K39,"")</f>
        <v>0.46</v>
      </c>
      <c r="L40" s="23">
        <f>+IF(C23=6,I42,IF(L41="","",(L39+L41)/2))</f>
        <v>0</v>
      </c>
      <c r="M40" s="210"/>
      <c r="N40" s="287">
        <f>+IF(F41="NO APLICA","NO APLICA",IF(E40&gt;0.2,E40*0.2,"NO APLICA"))</f>
        <v>9.2000000000000012E-2</v>
      </c>
      <c r="O40" s="287">
        <f>+IF(F41="NO APLICA","NO APLICA",IF(E40&gt;0,E40*0.6,"NO APLICA"))</f>
        <v>0.27600000000000002</v>
      </c>
      <c r="P40" s="287" t="str">
        <f>+IF(F41="NO APLICA","NO APLICA",IF(E40&gt;0.5,E40*0.8,"NO APLICA"))</f>
        <v>NO APLICA</v>
      </c>
      <c r="Q40" s="26"/>
      <c r="R40" s="288">
        <f>+IF(F41="NO APLICA","NO APLICA",IF(E40&gt;0.2,E40*0.8,"NO APLICA"))</f>
        <v>0.36800000000000005</v>
      </c>
      <c r="S40" s="288">
        <f>+IF(F41="NO APLICA","NO APLICA",IF(E40&gt;0,E40*0.4,"NO APLICA"))</f>
        <v>0.18400000000000002</v>
      </c>
      <c r="T40" s="288" t="str">
        <f>+IF(F41="NO APLICA","NO APLICA",IF(E40&gt;0.5,E40*0.2,"NO APLICA"))</f>
        <v>NO APLICA</v>
      </c>
      <c r="U40" s="30"/>
      <c r="V40" s="30"/>
      <c r="W40" s="290">
        <v>0.871</v>
      </c>
      <c r="X40" s="291">
        <v>0.88</v>
      </c>
      <c r="Y40" s="289">
        <v>0.872</v>
      </c>
      <c r="Z40" s="290">
        <v>0.91</v>
      </c>
      <c r="AA40" s="291">
        <v>0.89700000000000002</v>
      </c>
      <c r="AB40" s="289">
        <v>0.9</v>
      </c>
      <c r="AC40" s="283"/>
      <c r="AD40" s="219"/>
      <c r="AE40" s="275"/>
      <c r="AF40" s="277">
        <f t="shared" ref="AF40" si="37">+IF(OR(ISNUMBER(W40),ISNUMBER(X40),ISNUMBER(Y40)),AVERAGE(W40:Y41),"NO APLICA")</f>
        <v>0.8743333333333333</v>
      </c>
      <c r="AG40" s="278">
        <f t="shared" ref="AG40" si="38">+IF(OR(ISNUMBER(Z40),ISNUMBER(AA40),ISNUMBER(AB40)),AVERAGE(Z40:AB41),"NO APLICA")</f>
        <v>0.90233333333333332</v>
      </c>
      <c r="AH40" s="278" t="str">
        <f t="shared" ref="AH40" si="39">+IF(OR(ISNUMBER(AC40),ISNUMBER(AD40),ISNUMBER(AE40)),AVERAGE(AC40:AE41),"NO APLICA")</f>
        <v>NO APLICA</v>
      </c>
      <c r="AI40" s="279">
        <f>IF(F41="NO APLICA","NO APLICA",IF(E40&gt;0.5,IF(OR(ISTEXT(AF40),ISTEXT(AG40),ISTEXT(AH40)),"FALTAN DATOS",(AF40+2*AG40+AH40)/4),IF(E40&gt;0.2,IF(OR(ISTEXT(AF40),ISTEXT(AG40)),"FALTAN DATOS",(AF40+AG40)/2),IF(E40&gt;0,IF(ISTEXT(AG40),"FALTAN DATOS",AG40),"NO APLICA"))))</f>
        <v>0.88833333333333331</v>
      </c>
      <c r="AJ40" s="266">
        <f t="shared" ref="AJ40" si="40">+IF(OR(AI40="FALTAN DATOS",AI40="NO APLICA"),"NO APLICA",AI40*G40)</f>
        <v>8.9899333333333373E-2</v>
      </c>
      <c r="AK40" s="49"/>
      <c r="AL40" s="56" t="s">
        <v>45</v>
      </c>
      <c r="AM40" s="70">
        <f>+IF(O32="NO APLICA","",MAX(E28:E63)-E32)</f>
        <v>0</v>
      </c>
      <c r="AN40" s="70">
        <f>+IF(O32="NO APLICA","",D32)</f>
        <v>0.33</v>
      </c>
      <c r="AO40" s="70">
        <f>+IF(O32="NO APLICA","",0)</f>
        <v>0</v>
      </c>
      <c r="AP40" s="71">
        <f>+B32</f>
        <v>2</v>
      </c>
      <c r="AQ40" s="45"/>
      <c r="AR40" s="341"/>
      <c r="AS40" s="350"/>
      <c r="AT40" s="345"/>
      <c r="AU40" s="345"/>
      <c r="AV40" s="345"/>
      <c r="AW40" s="345"/>
      <c r="AX40" s="345"/>
      <c r="AY40" s="345"/>
      <c r="AZ40" s="345"/>
      <c r="BA40" s="345"/>
      <c r="BB40" s="345"/>
      <c r="BC40" s="345"/>
      <c r="BD40" s="347"/>
      <c r="BE40" s="345"/>
      <c r="BF40" s="347"/>
      <c r="BG40" s="347"/>
      <c r="BH40" s="349"/>
      <c r="BI40" s="9"/>
      <c r="BJ40" s="9"/>
      <c r="BK40" s="9"/>
    </row>
    <row r="41" spans="1:63" ht="15" customHeight="1" x14ac:dyDescent="0.25">
      <c r="A41" s="9"/>
      <c r="B41" s="268"/>
      <c r="C41" s="270"/>
      <c r="D41" s="272"/>
      <c r="E41" s="220"/>
      <c r="F41" s="159">
        <f>+IF(C42="NO APLICA","NO APLICA",IF(C40=C42,IF(E42=E40,E42*(D42-D40)/2,IF(E42&gt;E40,(E40*(D42-D40)/2)+(((E42-E40)/2)*(D42-D40)/4),IF(E42&lt;E40,(E40-((E40-E42)/2))*(D42-D40)/2+(((E40-E42)/2)*(D42-D40)/4)))),IF(E42=E40,E42*2*(D42-D40)/2,IF(E42&gt;E40,E40*2*(D42-D40)/2+(((E42-E40))*2*(D42-D40)/4),IF(E42&lt;E40,E42*2*(D42-D40)/2+(((E40-E42))*2*(D42-D40)/4))))))</f>
        <v>5.0600000000000048E-2</v>
      </c>
      <c r="G41" s="225"/>
      <c r="H41" s="273"/>
      <c r="I41" s="273"/>
      <c r="J41" s="17" t="str">
        <f>+IF(D44="NO APLICA","",D42)</f>
        <v/>
      </c>
      <c r="K41" s="17" t="str">
        <f>IF(C44="NO APLICA","",H42)</f>
        <v/>
      </c>
      <c r="L41" s="17" t="str">
        <f>IF(C44="NO APLICA","",I42)</f>
        <v/>
      </c>
      <c r="M41" s="210"/>
      <c r="N41" s="287"/>
      <c r="O41" s="287"/>
      <c r="P41" s="287"/>
      <c r="Q41" s="26"/>
      <c r="R41" s="288"/>
      <c r="S41" s="288"/>
      <c r="T41" s="288"/>
      <c r="U41" s="30"/>
      <c r="V41" s="30"/>
      <c r="W41" s="290"/>
      <c r="X41" s="291"/>
      <c r="Y41" s="289"/>
      <c r="Z41" s="290"/>
      <c r="AA41" s="291"/>
      <c r="AB41" s="289"/>
      <c r="AC41" s="286"/>
      <c r="AD41" s="220"/>
      <c r="AE41" s="285"/>
      <c r="AF41" s="277"/>
      <c r="AG41" s="278"/>
      <c r="AH41" s="278"/>
      <c r="AI41" s="280"/>
      <c r="AJ41" s="266"/>
      <c r="AK41" s="49"/>
      <c r="AL41" s="54" t="s">
        <v>41</v>
      </c>
      <c r="AM41" s="62">
        <f>+IF(O34="NO APLICA","",MAX(E28:E63))</f>
        <v>0.46</v>
      </c>
      <c r="AN41" s="62">
        <f>+IF(AN42="",IF(AN43="","",AN43),AN42)</f>
        <v>0.55000000000000004</v>
      </c>
      <c r="AO41" s="62">
        <f>+IF(AO42="",IF(AO43="","",AO43*1.25),AO42*1.15)</f>
        <v>1.1377333333333333</v>
      </c>
      <c r="AP41" s="63">
        <f>+B34</f>
        <v>3</v>
      </c>
      <c r="AQ41" s="45"/>
      <c r="AR41" s="344" t="s">
        <v>57</v>
      </c>
      <c r="AS41" s="344"/>
      <c r="AT41" s="344"/>
      <c r="AU41" s="344"/>
      <c r="AV41" s="344"/>
      <c r="AW41" s="344"/>
      <c r="AX41" s="344"/>
      <c r="AY41" s="344"/>
      <c r="AZ41" s="344"/>
      <c r="BA41" s="344"/>
      <c r="BB41" s="344"/>
      <c r="BC41" s="344"/>
      <c r="BD41" s="344"/>
      <c r="BE41" s="344"/>
      <c r="BF41" s="344"/>
      <c r="BG41" s="344"/>
      <c r="BH41" s="344"/>
      <c r="BI41" s="9"/>
      <c r="BJ41" s="9"/>
      <c r="BK41" s="9"/>
    </row>
    <row r="42" spans="1:63" ht="15" customHeight="1" x14ac:dyDescent="0.25">
      <c r="A42" s="9"/>
      <c r="B42" s="267" t="str">
        <f>+IF(C42="NO APLICA","S/N",IF(C40&gt;C42,"Final",7))</f>
        <v>Final</v>
      </c>
      <c r="C42" s="269">
        <f>+IF(C23=6,C24/2,IF(C23&gt;6,C24,"NO APLICA"))</f>
        <v>0.10916666666666668</v>
      </c>
      <c r="D42" s="271">
        <f>IF(C42="NO APLICA","NO APLICA",ROUND(C30+C32+C34+C36+C38+C40+C42,2))</f>
        <v>1.31</v>
      </c>
      <c r="E42" s="219">
        <v>0.46</v>
      </c>
      <c r="F42" s="5">
        <f>+IF(C42="NO APLICA","NO APLICA",IF(E42=E40,E42*(D42-D40)/2,IF(E42&gt;E40,(E42-((E42-E40)/2))*(D42-D40)/2+(((E42-E40)/2)*(D42-D40)/4),IF(E42&lt;E40,(E42*(D42-D40)/2)+(((E40-E42)/2)*(D42-D40)/4)))))</f>
        <v>2.5300000000000024E-2</v>
      </c>
      <c r="G42" s="225" t="str">
        <f t="shared" ref="G42" si="41">+IF(F43="NO APLICA","NO APLICA",F42+F43)</f>
        <v>NO APLICA</v>
      </c>
      <c r="H42" s="273">
        <f t="shared" ref="H42" si="42">+IF(C42="NO APLICA","",MAX(E$28:E$63))</f>
        <v>0.46</v>
      </c>
      <c r="I42" s="273">
        <f t="shared" ref="I42" si="43">+IF(C42="NO APLICA","",H42-E42)</f>
        <v>0</v>
      </c>
      <c r="J42" s="23" t="str">
        <f>+IF(D44="NO APLICA","",IF(ROUND((D44-D42),1)=ROUND((D42-D40),1),(D42+D44)/2,D44))</f>
        <v/>
      </c>
      <c r="K42" s="23" t="str">
        <f>+IF(K41=K40,K41,"")</f>
        <v/>
      </c>
      <c r="L42" s="23" t="str">
        <f>+IF(L43="","",(L41+L43)/2)</f>
        <v/>
      </c>
      <c r="M42" s="210"/>
      <c r="N42" s="287" t="str">
        <f>+IF(F43="NO APLICA","NO APLICA",IF(E42&gt;0.2,E42*0.2,"NO APLICA"))</f>
        <v>NO APLICA</v>
      </c>
      <c r="O42" s="287" t="str">
        <f>+IF(F43="NO APLICA","NO APLICA",IF(E42&gt;0,E42*0.6,"NO APLICA"))</f>
        <v>NO APLICA</v>
      </c>
      <c r="P42" s="287" t="str">
        <f>+IF(F43="NO APLICA","NO APLICA",IF(E42&gt;0.5,E42*0.8,"NO APLICA"))</f>
        <v>NO APLICA</v>
      </c>
      <c r="Q42" s="26"/>
      <c r="R42" s="288" t="str">
        <f>+IF(F43="NO APLICA","NO APLICA",IF(E42&gt;0.2,E42*0.8,"NO APLICA"))</f>
        <v>NO APLICA</v>
      </c>
      <c r="S42" s="288" t="str">
        <f>+IF(F43="NO APLICA","NO APLICA",IF(E42&gt;0,E42*0.4,"NO APLICA"))</f>
        <v>NO APLICA</v>
      </c>
      <c r="T42" s="288" t="str">
        <f>+IF(F43="NO APLICA","NO APLICA",IF(E42&gt;0.5,E42*0.2,"NO APLICA"))</f>
        <v>NO APLICA</v>
      </c>
      <c r="U42" s="30"/>
      <c r="V42" s="30"/>
      <c r="W42" s="283"/>
      <c r="X42" s="219"/>
      <c r="Y42" s="275"/>
      <c r="Z42" s="283"/>
      <c r="AA42" s="219"/>
      <c r="AB42" s="275"/>
      <c r="AC42" s="283"/>
      <c r="AD42" s="219"/>
      <c r="AE42" s="275"/>
      <c r="AF42" s="277" t="str">
        <f t="shared" ref="AF42" si="44">+IF(OR(ISNUMBER(W42),ISNUMBER(X42),ISNUMBER(Y42)),AVERAGE(W42:Y43),"NO APLICA")</f>
        <v>NO APLICA</v>
      </c>
      <c r="AG42" s="278" t="str">
        <f t="shared" ref="AG42" si="45">+IF(OR(ISNUMBER(Z42),ISNUMBER(AA42),ISNUMBER(AB42)),AVERAGE(Z42:AB43),"NO APLICA")</f>
        <v>NO APLICA</v>
      </c>
      <c r="AH42" s="278" t="str">
        <f t="shared" ref="AH42" si="46">+IF(OR(ISNUMBER(AC42),ISNUMBER(AD42),ISNUMBER(AE42)),AVERAGE(AC42:AE43),"NO APLICA")</f>
        <v>NO APLICA</v>
      </c>
      <c r="AI42" s="279" t="str">
        <f t="shared" ref="AI42" si="47">IF(F43="NO APLICA","NO APLICA",IF(E42&gt;0.5,IF(OR(ISTEXT(AF42),ISTEXT(AG42),ISTEXT(AH42)),"FALTAN DATOS",(AF42+2*AG42+AH42)/4),IF(E42&gt;0.2,IF(OR(ISTEXT(AF42),ISTEXT(AG42)),"FALTAN DATOS",(AF42+AG42)/2),IF(E42&gt;0,IF(ISTEXT(AG42),"FALTAN DATOS",AG42),"NO APLICA"))))</f>
        <v>NO APLICA</v>
      </c>
      <c r="AJ42" s="266" t="str">
        <f t="shared" ref="AJ42" si="48">+IF(OR(AI42="FALTAN DATOS",AI42="NO APLICA"),"NO APLICA",AI42*G42)</f>
        <v>NO APLICA</v>
      </c>
      <c r="AK42" s="49"/>
      <c r="AL42" s="55" t="s">
        <v>42</v>
      </c>
      <c r="AM42" s="66">
        <f>+IF(N34="NO APLICA","",MAX(E28:E63)-E34*0.2)</f>
        <v>0.36799999999999999</v>
      </c>
      <c r="AN42" s="66">
        <f>+IF(N34="NO APLICA","",D34)</f>
        <v>0.55000000000000004</v>
      </c>
      <c r="AO42" s="66">
        <f>+IF(N34="NO APLICA","",AF34)</f>
        <v>0.98933333333333329</v>
      </c>
      <c r="AP42" s="67">
        <f>+B34</f>
        <v>3</v>
      </c>
      <c r="AQ42" s="45"/>
      <c r="AR42" s="9"/>
      <c r="AS42" s="9"/>
      <c r="AT42" s="9"/>
      <c r="AU42" s="9"/>
      <c r="AV42" s="9"/>
      <c r="AW42" s="9"/>
      <c r="AX42" s="9"/>
      <c r="AY42" s="9"/>
      <c r="AZ42" s="9"/>
      <c r="BA42" s="9"/>
      <c r="BB42" s="9"/>
      <c r="BC42" s="9"/>
      <c r="BD42" s="9"/>
      <c r="BE42" s="9"/>
      <c r="BF42" s="9"/>
      <c r="BG42" s="9"/>
      <c r="BH42" s="9"/>
      <c r="BI42" s="9"/>
      <c r="BJ42" s="9"/>
      <c r="BK42" s="9"/>
    </row>
    <row r="43" spans="1:63" ht="15" customHeight="1" x14ac:dyDescent="0.25">
      <c r="A43" s="9"/>
      <c r="B43" s="268"/>
      <c r="C43" s="270"/>
      <c r="D43" s="272"/>
      <c r="E43" s="220"/>
      <c r="F43" s="159" t="str">
        <f>+IF(C44="NO APLICA","NO APLICA",IF(C42=C44,IF(E44=E42,E44*(D44-D42)/2,IF(E44&gt;E42,(E42*(D44-D42)/2)+(((E44-E42)/2)*(D44-D42)/4),IF(E44&lt;E42,(E42-((E42-E44)/2))*(D44-D42)/2+(((E42-E44)/2)*(D44-D42)/4)))),IF(E44=E42,E44*2*(D44-D42)/2,IF(E44&gt;E42,E42*2*(D44-D42)/2+(((E44-E42))*2*(D44-D42)/4),IF(E44&lt;E42,E44*2*(D44-D42)/2+(((E42-E44))*2*(D44-D42)/4))))))</f>
        <v>NO APLICA</v>
      </c>
      <c r="G43" s="225"/>
      <c r="H43" s="273"/>
      <c r="I43" s="273"/>
      <c r="J43" s="17" t="str">
        <f>+IF(D44="NO APLICA","",D44)</f>
        <v/>
      </c>
      <c r="K43" s="17" t="str">
        <f>+H44</f>
        <v/>
      </c>
      <c r="L43" s="17" t="str">
        <f>+I44</f>
        <v/>
      </c>
      <c r="M43" s="210"/>
      <c r="N43" s="287"/>
      <c r="O43" s="287"/>
      <c r="P43" s="287"/>
      <c r="Q43" s="26"/>
      <c r="R43" s="288"/>
      <c r="S43" s="288"/>
      <c r="T43" s="288"/>
      <c r="U43" s="30"/>
      <c r="V43" s="30"/>
      <c r="W43" s="286"/>
      <c r="X43" s="220"/>
      <c r="Y43" s="285"/>
      <c r="Z43" s="286"/>
      <c r="AA43" s="220"/>
      <c r="AB43" s="285"/>
      <c r="AC43" s="286"/>
      <c r="AD43" s="220"/>
      <c r="AE43" s="285"/>
      <c r="AF43" s="277"/>
      <c r="AG43" s="278"/>
      <c r="AH43" s="278"/>
      <c r="AI43" s="280"/>
      <c r="AJ43" s="266"/>
      <c r="AK43" s="49"/>
      <c r="AL43" s="55" t="s">
        <v>43</v>
      </c>
      <c r="AM43" s="66">
        <f>+IF(O34="NO APLICA","",MAX(E28:E63)-E34*0.6)</f>
        <v>0.184</v>
      </c>
      <c r="AN43" s="66">
        <f>+IF(O34="NO APLICA","",D34)</f>
        <v>0.55000000000000004</v>
      </c>
      <c r="AO43" s="66">
        <f>+IF(O34="NO APLICA","",AG34)</f>
        <v>0.94799999999999995</v>
      </c>
      <c r="AP43" s="67">
        <f>+B34</f>
        <v>3</v>
      </c>
      <c r="AQ43" s="45"/>
      <c r="AR43" s="9"/>
      <c r="AS43" s="9"/>
      <c r="AT43" s="9"/>
      <c r="AU43" s="9"/>
      <c r="AV43" s="9"/>
      <c r="AW43" s="9"/>
      <c r="AX43" s="9"/>
      <c r="AY43" s="9"/>
      <c r="AZ43" s="9"/>
      <c r="BA43" s="9"/>
      <c r="BB43" s="9"/>
      <c r="BC43" s="9"/>
      <c r="BD43" s="9"/>
      <c r="BE43" s="9"/>
      <c r="BF43" s="9"/>
      <c r="BG43" s="9"/>
      <c r="BH43" s="9"/>
      <c r="BI43" s="9"/>
      <c r="BJ43" s="9"/>
      <c r="BK43" s="9"/>
    </row>
    <row r="44" spans="1:63" ht="15" customHeight="1" x14ac:dyDescent="0.25">
      <c r="A44" s="9"/>
      <c r="B44" s="267" t="str">
        <f>+IF(C44="NO APLICA","S/N",8)</f>
        <v>S/N</v>
      </c>
      <c r="C44" s="269" t="str">
        <f>+IF(C23&gt;6,C24,"NO APLICA")</f>
        <v>NO APLICA</v>
      </c>
      <c r="D44" s="271" t="str">
        <f>IF(C44="NO APLICA","NO APLICA",ROUND(C30+C32+C34+C36+C38+C40+C42+C44,2))</f>
        <v>NO APLICA</v>
      </c>
      <c r="E44" s="219"/>
      <c r="F44" s="5" t="str">
        <f>+IF(C44="NO APLICA","NO APLICA",IF(E44=E42,E44*(D44-D42)/2,IF(E44&gt;E42,(E44-((E44-E42)/2))*(D44-D42)/2+(((E44-E42)/2)*(D44-D42)/4),IF(E44&lt;E42,(E44*(D44-D42)/2)+(((E42-E44)/2)*(D44-D42)/4)))))</f>
        <v>NO APLICA</v>
      </c>
      <c r="G44" s="225" t="str">
        <f t="shared" ref="G44" si="49">+IF(F45="NO APLICA","NO APLICA",F44+F45)</f>
        <v>NO APLICA</v>
      </c>
      <c r="H44" s="273" t="str">
        <f t="shared" ref="H44" si="50">+IF(C44="NO APLICA","",MAX(E$28:E$63))</f>
        <v/>
      </c>
      <c r="I44" s="273" t="str">
        <f t="shared" ref="I44" si="51">+IF(C44="NO APLICA","",H44-E44)</f>
        <v/>
      </c>
      <c r="J44" s="23" t="str">
        <f>+IF(D46="NO APLICA","",IF(ROUND((D46-D44),1)=ROUND((D44-D42),1),(D44+D46)/2,D46))</f>
        <v/>
      </c>
      <c r="K44" s="23" t="str">
        <f>+IF(K43=K42,K43,"")</f>
        <v/>
      </c>
      <c r="L44" s="23" t="str">
        <f>+IF(L45="","",(L43+L45)/2)</f>
        <v/>
      </c>
      <c r="M44" s="210"/>
      <c r="N44" s="287" t="str">
        <f>+IF(F45="NO APLICA","NO APLICA",IF(E44&gt;0.2,E44*0.2,"NO APLICA"))</f>
        <v>NO APLICA</v>
      </c>
      <c r="O44" s="287" t="str">
        <f>+IF(F45="NO APLICA","NO APLICA",IF(E44&gt;0,E44*0.6,"NO APLICA"))</f>
        <v>NO APLICA</v>
      </c>
      <c r="P44" s="287" t="str">
        <f>+IF(F45="NO APLICA","NO APLICA",IF(E44&gt;0.5,E44*0.8,"NO APLICA"))</f>
        <v>NO APLICA</v>
      </c>
      <c r="Q44" s="26"/>
      <c r="R44" s="288" t="str">
        <f>+IF(F45="NO APLICA","NO APLICA",IF(E44&gt;0.2,E44*0.8,"NO APLICA"))</f>
        <v>NO APLICA</v>
      </c>
      <c r="S44" s="288" t="str">
        <f>+IF(F45="NO APLICA","NO APLICA",IF(E44&gt;0,E44*0.4,"NO APLICA"))</f>
        <v>NO APLICA</v>
      </c>
      <c r="T44" s="288" t="str">
        <f>+IF(F45="NO APLICA","NO APLICA",IF(E44&gt;0.5,E44*0.2,"NO APLICA"))</f>
        <v>NO APLICA</v>
      </c>
      <c r="U44" s="30"/>
      <c r="V44" s="30"/>
      <c r="W44" s="283"/>
      <c r="X44" s="219"/>
      <c r="Y44" s="275"/>
      <c r="Z44" s="283"/>
      <c r="AA44" s="219"/>
      <c r="AB44" s="275"/>
      <c r="AC44" s="283"/>
      <c r="AD44" s="219"/>
      <c r="AE44" s="275"/>
      <c r="AF44" s="277" t="str">
        <f t="shared" ref="AF44" si="52">+IF(OR(ISNUMBER(W44),ISNUMBER(X44),ISNUMBER(Y44)),AVERAGE(W44:Y45),"NO APLICA")</f>
        <v>NO APLICA</v>
      </c>
      <c r="AG44" s="278" t="str">
        <f t="shared" ref="AG44" si="53">+IF(OR(ISNUMBER(Z44),ISNUMBER(AA44),ISNUMBER(AB44)),AVERAGE(Z44:AB45),"NO APLICA")</f>
        <v>NO APLICA</v>
      </c>
      <c r="AH44" s="278" t="str">
        <f t="shared" ref="AH44" si="54">+IF(OR(ISNUMBER(AC44),ISNUMBER(AD44),ISNUMBER(AE44)),AVERAGE(AC44:AE45),"NO APLICA")</f>
        <v>NO APLICA</v>
      </c>
      <c r="AI44" s="279" t="str">
        <f t="shared" ref="AI44" si="55">IF(F45="NO APLICA","NO APLICA",IF(E44&gt;0.5,IF(OR(ISTEXT(AF44),ISTEXT(AG44),ISTEXT(AH44)),"FALTAN DATOS",(AF44+2*AG44+AH44)/4),IF(E44&gt;0.2,IF(OR(ISTEXT(AF44),ISTEXT(AG44)),"FALTAN DATOS",(AF44+AG44)/2),IF(E44&gt;0,IF(ISTEXT(AG44),"FALTAN DATOS",AG44),"NO APLICA"))))</f>
        <v>NO APLICA</v>
      </c>
      <c r="AJ44" s="266" t="str">
        <f t="shared" ref="AJ44" si="56">+IF(OR(AI44="FALTAN DATOS",AI44="NO APLICA"),"NO APLICA",AI44*G44)</f>
        <v>NO APLICA</v>
      </c>
      <c r="AK44" s="49"/>
      <c r="AL44" s="55" t="s">
        <v>44</v>
      </c>
      <c r="AM44" s="66" t="str">
        <f>+IF(P34="NO APLICA","",MAX(E28:E63)-E34*0.8)</f>
        <v/>
      </c>
      <c r="AN44" s="66" t="str">
        <f>+IF(P34="NO APLICA","",D34)</f>
        <v/>
      </c>
      <c r="AO44" s="66" t="str">
        <f>+IF(P34="NO APLICA","",AH34)</f>
        <v/>
      </c>
      <c r="AP44" s="67">
        <f>+B34</f>
        <v>3</v>
      </c>
      <c r="AQ44" s="45"/>
      <c r="AR44" s="9"/>
      <c r="AS44" s="9"/>
      <c r="AT44" s="9"/>
      <c r="AU44" s="9"/>
      <c r="AV44" s="9"/>
      <c r="AW44" s="9"/>
      <c r="AX44" s="9"/>
      <c r="AY44" s="9"/>
      <c r="AZ44" s="9"/>
      <c r="BA44" s="9"/>
      <c r="BB44" s="9"/>
      <c r="BC44" s="9"/>
      <c r="BD44" s="9"/>
      <c r="BE44" s="9"/>
      <c r="BF44" s="9"/>
      <c r="BG44" s="9"/>
      <c r="BH44" s="9"/>
      <c r="BI44" s="9"/>
      <c r="BJ44" s="9"/>
      <c r="BK44" s="9"/>
    </row>
    <row r="45" spans="1:63" ht="15" customHeight="1" x14ac:dyDescent="0.25">
      <c r="A45" s="9"/>
      <c r="B45" s="268"/>
      <c r="C45" s="270"/>
      <c r="D45" s="272"/>
      <c r="E45" s="220"/>
      <c r="F45" s="159" t="str">
        <f>+IF(C46="NO APLICA","NO APLICA",IF(C44=C46,IF(E46=E44,E46*(D46-D44)/2,IF(E46&gt;E44,(E44*(D46-D44)/2)+(((E46-E44)/2)*(D46-D44)/4),IF(E46&lt;E44,(E44-((E44-E46)/2))*(D46-D44)/2+(((E44-E46)/2)*(D46-D44)/4)))),IF(E46=E44,E46*2*(D46-D44)/2,IF(E46&gt;E44,E44*2*(D46-D44)/2+(((E46-E44))*2*(D46-D44)/4),IF(E46&lt;E44,E46*2*(D46-D44)/2+(((E44-E46))*2*(D46-D44)/4))))))</f>
        <v>NO APLICA</v>
      </c>
      <c r="G45" s="225"/>
      <c r="H45" s="273"/>
      <c r="I45" s="273"/>
      <c r="J45" s="17" t="str">
        <f>+IF(D46="NO APLICA","",D46)</f>
        <v/>
      </c>
      <c r="K45" s="17" t="str">
        <f>+H46</f>
        <v/>
      </c>
      <c r="L45" s="17" t="str">
        <f>+I46</f>
        <v/>
      </c>
      <c r="M45" s="210"/>
      <c r="N45" s="287"/>
      <c r="O45" s="287"/>
      <c r="P45" s="287"/>
      <c r="Q45" s="26"/>
      <c r="R45" s="288"/>
      <c r="S45" s="288"/>
      <c r="T45" s="288"/>
      <c r="U45" s="30"/>
      <c r="V45" s="30"/>
      <c r="W45" s="286"/>
      <c r="X45" s="220"/>
      <c r="Y45" s="285"/>
      <c r="Z45" s="286"/>
      <c r="AA45" s="220"/>
      <c r="AB45" s="285"/>
      <c r="AC45" s="286"/>
      <c r="AD45" s="220"/>
      <c r="AE45" s="285"/>
      <c r="AF45" s="277"/>
      <c r="AG45" s="278"/>
      <c r="AH45" s="278"/>
      <c r="AI45" s="280"/>
      <c r="AJ45" s="266"/>
      <c r="AK45" s="49"/>
      <c r="AL45" s="55" t="s">
        <v>52</v>
      </c>
      <c r="AM45" s="68">
        <f>+IF(AM44="",IF(AM43="","",(AM41-AM46)*0.1+AM46),(AM41-AM46)*0.1+AM46)</f>
        <v>4.6000000000000006E-2</v>
      </c>
      <c r="AN45" s="68">
        <f>+IF(AN44="",IF(AN43="","",AN43),AN44)</f>
        <v>0.55000000000000004</v>
      </c>
      <c r="AO45" s="68">
        <f>+IF(AO44="",IF(AO43="","",AO43*0.75),AO44*0.85)</f>
        <v>0.71099999999999997</v>
      </c>
      <c r="AP45" s="64">
        <f>+B34</f>
        <v>3</v>
      </c>
      <c r="AQ45" s="9"/>
      <c r="AR45" s="9"/>
      <c r="AS45" s="9"/>
      <c r="AT45" s="9"/>
      <c r="AU45" s="9"/>
      <c r="AV45" s="9"/>
      <c r="AW45" s="9"/>
      <c r="AX45" s="9"/>
      <c r="AY45" s="9"/>
      <c r="AZ45" s="9"/>
      <c r="BA45" s="9"/>
      <c r="BB45" s="9"/>
      <c r="BC45" s="9"/>
      <c r="BD45" s="9"/>
      <c r="BE45" s="9"/>
      <c r="BF45" s="9"/>
      <c r="BG45" s="9"/>
      <c r="BH45" s="9"/>
      <c r="BI45" s="9"/>
      <c r="BJ45" s="9"/>
      <c r="BK45" s="9"/>
    </row>
    <row r="46" spans="1:63" ht="15" customHeight="1" x14ac:dyDescent="0.25">
      <c r="A46" s="9"/>
      <c r="B46" s="267" t="str">
        <f>+IF(C46="NO APLICA","S/N",9)</f>
        <v>S/N</v>
      </c>
      <c r="C46" s="269" t="str">
        <f>+IF(C23&gt;6,C24,"NO APLICA")</f>
        <v>NO APLICA</v>
      </c>
      <c r="D46" s="271" t="str">
        <f>IF(C46="NO APLICA","NO APLICA",ROUND(C30+C32+C34+C36+C38+C40+C42+C44+C46,2))</f>
        <v>NO APLICA</v>
      </c>
      <c r="E46" s="219"/>
      <c r="F46" s="5" t="str">
        <f>+IF(C46="NO APLICA","NO APLICA",IF(E46=E44,E46*(D46-D44)/2,IF(E46&gt;E44,(E46-((E46-E44)/2))*(D46-D44)/2+(((E46-E44)/2)*(D46-D44)/4),IF(E46&lt;E44,(E46*(D46-D44)/2)+(((E44-E46)/2)*(D46-D44)/4)))))</f>
        <v>NO APLICA</v>
      </c>
      <c r="G46" s="225" t="str">
        <f t="shared" ref="G46" si="57">+IF(F47="NO APLICA","NO APLICA",F46+F47)</f>
        <v>NO APLICA</v>
      </c>
      <c r="H46" s="273" t="str">
        <f t="shared" ref="H46" si="58">+IF(C46="NO APLICA","",MAX(E$28:E$63))</f>
        <v/>
      </c>
      <c r="I46" s="273" t="str">
        <f t="shared" ref="I46" si="59">+IF(C46="NO APLICA","",H46-E46)</f>
        <v/>
      </c>
      <c r="J46" s="23" t="str">
        <f>+IF(D48="NO APLICA","",IF(ROUND((D48-D46),1)=ROUND((D46-D44),1),(D46+D48)/2,D48))</f>
        <v/>
      </c>
      <c r="K46" s="23" t="str">
        <f>+IF(K45=K44,K45,"")</f>
        <v/>
      </c>
      <c r="L46" s="23" t="str">
        <f>+IF(L47="","",(L45+L47)/2)</f>
        <v/>
      </c>
      <c r="M46" s="210"/>
      <c r="N46" s="287" t="str">
        <f>+IF(F47="NO APLICA","NO APLICA",IF(E46&gt;0.2,E46*0.2,"NO APLICA"))</f>
        <v>NO APLICA</v>
      </c>
      <c r="O46" s="287" t="str">
        <f>+IF(F47="NO APLICA","NO APLICA",IF(E46&gt;0,E46*0.6,"NO APLICA"))</f>
        <v>NO APLICA</v>
      </c>
      <c r="P46" s="287" t="str">
        <f>+IF(F47="NO APLICA","NO APLICA",IF(E46&gt;0.5,E46*0.8,"NO APLICA"))</f>
        <v>NO APLICA</v>
      </c>
      <c r="Q46" s="26"/>
      <c r="R46" s="288" t="str">
        <f>+IF(F47="NO APLICA","NO APLICA",IF(E46&gt;0.2,E46*0.8,"NO APLICA"))</f>
        <v>NO APLICA</v>
      </c>
      <c r="S46" s="288" t="str">
        <f>+IF(F47="NO APLICA","NO APLICA",IF(E46&gt;0,E46*0.4,"NO APLICA"))</f>
        <v>NO APLICA</v>
      </c>
      <c r="T46" s="288" t="str">
        <f>+IF(F47="NO APLICA","NO APLICA",IF(E46&gt;0.5,E46*0.2,"NO APLICA"))</f>
        <v>NO APLICA</v>
      </c>
      <c r="U46" s="30"/>
      <c r="V46" s="30"/>
      <c r="W46" s="283"/>
      <c r="X46" s="219"/>
      <c r="Y46" s="275"/>
      <c r="Z46" s="283"/>
      <c r="AA46" s="219"/>
      <c r="AB46" s="275"/>
      <c r="AC46" s="283"/>
      <c r="AD46" s="219"/>
      <c r="AE46" s="275"/>
      <c r="AF46" s="277" t="str">
        <f t="shared" ref="AF46" si="60">+IF(OR(ISNUMBER(W46),ISNUMBER(X46),ISNUMBER(Y46)),AVERAGE(W46:Y47),"NO APLICA")</f>
        <v>NO APLICA</v>
      </c>
      <c r="AG46" s="278" t="str">
        <f t="shared" ref="AG46" si="61">+IF(OR(ISNUMBER(Z46),ISNUMBER(AA46),ISNUMBER(AB46)),AVERAGE(Z46:AB47),"NO APLICA")</f>
        <v>NO APLICA</v>
      </c>
      <c r="AH46" s="278" t="str">
        <f t="shared" ref="AH46" si="62">+IF(OR(ISNUMBER(AC46),ISNUMBER(AD46),ISNUMBER(AE46)),AVERAGE(AC46:AE47),"NO APLICA")</f>
        <v>NO APLICA</v>
      </c>
      <c r="AI46" s="279" t="str">
        <f t="shared" ref="AI46" si="63">IF(F47="NO APLICA","NO APLICA",IF(E46&gt;0.5,IF(OR(ISTEXT(AF46),ISTEXT(AG46),ISTEXT(AH46)),"FALTAN DATOS",(AF46+2*AG46+AH46)/4),IF(E46&gt;0.2,IF(OR(ISTEXT(AF46),ISTEXT(AG46)),"FALTAN DATOS",(AF46+AG46)/2),IF(E46&gt;0,IF(ISTEXT(AG46),"FALTAN DATOS",AG46),"NO APLICA"))))</f>
        <v>NO APLICA</v>
      </c>
      <c r="AJ46" s="266" t="str">
        <f t="shared" ref="AJ46" si="64">+IF(OR(AI46="FALTAN DATOS",AI46="NO APLICA"),"NO APLICA",AI46*G46)</f>
        <v>NO APLICA</v>
      </c>
      <c r="AK46" s="49"/>
      <c r="AL46" s="56" t="s">
        <v>45</v>
      </c>
      <c r="AM46" s="70">
        <f>+IF(C34="NO APLICA","",IF(C32=C34*2,MAX(E28:E63)-E34,IF(O34="NO APLICA","",MAX(E28:E63)-E34)))</f>
        <v>0</v>
      </c>
      <c r="AN46" s="70">
        <f>+IF(C34="NO APLICA","",IF(C32=C34*2,D34,IF(O34="NO APLICA","",D34)))</f>
        <v>0.55000000000000004</v>
      </c>
      <c r="AO46" s="70">
        <f>+IF(C34="NO APLICA","",IF(C32=C34*2,0,IF(O34="NO APLICA","",0)))</f>
        <v>0</v>
      </c>
      <c r="AP46" s="71">
        <f>+B34</f>
        <v>3</v>
      </c>
      <c r="AQ46" s="45"/>
      <c r="AR46" s="9"/>
      <c r="AS46" s="9"/>
      <c r="AT46" s="9"/>
      <c r="AU46" s="9"/>
      <c r="AV46" s="9"/>
      <c r="AW46" s="9"/>
      <c r="AX46" s="9"/>
      <c r="AY46" s="9"/>
      <c r="AZ46" s="9"/>
      <c r="BA46" s="9"/>
      <c r="BB46" s="9"/>
      <c r="BC46" s="9"/>
      <c r="BD46" s="9"/>
      <c r="BE46" s="9"/>
      <c r="BF46" s="9"/>
      <c r="BG46" s="9"/>
      <c r="BH46" s="9"/>
      <c r="BI46" s="9"/>
      <c r="BJ46" s="9"/>
      <c r="BK46" s="9"/>
    </row>
    <row r="47" spans="1:63" ht="15" customHeight="1" x14ac:dyDescent="0.25">
      <c r="A47" s="9"/>
      <c r="B47" s="268"/>
      <c r="C47" s="270"/>
      <c r="D47" s="272"/>
      <c r="E47" s="220"/>
      <c r="F47" s="159" t="str">
        <f>+IF(C48="NO APLICA","NO APLICA",IF(C46=C48,IF(E48=E46,E48*(D48-D46)/2,IF(E48&gt;E46,(E46*(D48-D46)/2)+(((E48-E46)/2)*(D48-D46)/4),IF(E48&lt;E46,(E46-((E46-E48)/2))*(D48-D46)/2+(((E46-E48)/2)*(D48-D46)/4)))),IF(E48=E46,E48*2*(D48-D46)/2,IF(E48&gt;E46,E46*2*(D48-D46)/2+(((E48-E46))*2*(D48-D46)/4),IF(E48&lt;E46,E48*2*(D48-D46)/2+(((E46-E48))*2*(D48-D46)/4))))))</f>
        <v>NO APLICA</v>
      </c>
      <c r="G47" s="225"/>
      <c r="H47" s="273"/>
      <c r="I47" s="273"/>
      <c r="J47" s="17" t="str">
        <f>+IF(D48="NO APLICA","",D48)</f>
        <v/>
      </c>
      <c r="K47" s="17" t="str">
        <f>+H48</f>
        <v/>
      </c>
      <c r="L47" s="17" t="str">
        <f>+I48</f>
        <v/>
      </c>
      <c r="M47" s="210"/>
      <c r="N47" s="287"/>
      <c r="O47" s="287"/>
      <c r="P47" s="287"/>
      <c r="Q47" s="26"/>
      <c r="R47" s="288"/>
      <c r="S47" s="288"/>
      <c r="T47" s="288"/>
      <c r="U47" s="30"/>
      <c r="V47" s="30"/>
      <c r="W47" s="286"/>
      <c r="X47" s="220"/>
      <c r="Y47" s="285"/>
      <c r="Z47" s="286"/>
      <c r="AA47" s="220"/>
      <c r="AB47" s="285"/>
      <c r="AC47" s="286"/>
      <c r="AD47" s="220"/>
      <c r="AE47" s="285"/>
      <c r="AF47" s="277"/>
      <c r="AG47" s="278"/>
      <c r="AH47" s="278"/>
      <c r="AI47" s="280"/>
      <c r="AJ47" s="266"/>
      <c r="AK47" s="49"/>
      <c r="AL47" s="54" t="s">
        <v>41</v>
      </c>
      <c r="AM47" s="62">
        <f>+IF(O36="NO APLICA","",MAX(E28:E63))</f>
        <v>0.46</v>
      </c>
      <c r="AN47" s="62">
        <f>+IF(AN48="",IF(AN49="","",AN49),AN48)</f>
        <v>0.76</v>
      </c>
      <c r="AO47" s="62">
        <f>+IF(AO48="",IF(AO49="","",AO49*1.25),AO48*1.15)</f>
        <v>1.1553666666666667</v>
      </c>
      <c r="AP47" s="63">
        <f>+B36</f>
        <v>4</v>
      </c>
      <c r="AQ47" s="45"/>
      <c r="AR47" s="9"/>
      <c r="AS47" s="9"/>
      <c r="AT47" s="9"/>
      <c r="AU47" s="9"/>
      <c r="AV47" s="9"/>
      <c r="AW47" s="9"/>
      <c r="AX47" s="9"/>
      <c r="AY47" s="9"/>
      <c r="AZ47" s="9"/>
      <c r="BA47" s="9"/>
      <c r="BB47" s="9"/>
      <c r="BC47" s="9"/>
      <c r="BD47" s="9"/>
      <c r="BE47" s="9"/>
      <c r="BF47" s="9"/>
      <c r="BG47" s="9"/>
      <c r="BH47" s="9"/>
      <c r="BI47" s="9"/>
      <c r="BJ47" s="9"/>
      <c r="BK47" s="9"/>
    </row>
    <row r="48" spans="1:63" ht="15" customHeight="1" x14ac:dyDescent="0.25">
      <c r="A48" s="9"/>
      <c r="B48" s="267" t="str">
        <f>+IF(C48="NO APLICA","S/N",10)</f>
        <v>S/N</v>
      </c>
      <c r="C48" s="269" t="str">
        <f>+IF(C23&gt;6,C24,"NO APLICA")</f>
        <v>NO APLICA</v>
      </c>
      <c r="D48" s="271" t="str">
        <f>IF(C48="NO APLICA","NO APLICA",ROUND(C30+C32+C34+C36+C38+C40+C42+C44+C46+C48,2))</f>
        <v>NO APLICA</v>
      </c>
      <c r="E48" s="219"/>
      <c r="F48" s="5" t="str">
        <f>+IF(C48="NO APLICA","NO APLICA",IF(E48=E46,E48*(D48-D46)/2,IF(E48&gt;E46,(E48-((E48-E46)/2))*(D48-D46)/2+(((E48-E46)/2)*(D48-D46)/4),IF(E48&lt;E46,(E48*(D48-D46)/2)+(((E46-E48)/2)*(D48-D46)/4)))))</f>
        <v>NO APLICA</v>
      </c>
      <c r="G48" s="225" t="str">
        <f t="shared" ref="G48" si="65">+IF(F49="NO APLICA","NO APLICA",F48+F49)</f>
        <v>NO APLICA</v>
      </c>
      <c r="H48" s="273" t="str">
        <f t="shared" ref="H48" si="66">+IF(C48="NO APLICA","",MAX(E$28:E$63))</f>
        <v/>
      </c>
      <c r="I48" s="273" t="str">
        <f t="shared" ref="I48" si="67">+IF(C48="NO APLICA","",H48-E48)</f>
        <v/>
      </c>
      <c r="J48" s="23" t="str">
        <f>+IF(D50="NO APLICA","",IF((D50-D48)=(D48-D46),(D48+D50)/2,D50))</f>
        <v/>
      </c>
      <c r="K48" s="23" t="str">
        <f>+IF(K47=K46,K47,"")</f>
        <v/>
      </c>
      <c r="L48" s="23" t="str">
        <f>+IF(C23=10,I50,IF(L49="","",(L47+L49)/2))</f>
        <v/>
      </c>
      <c r="M48" s="210"/>
      <c r="N48" s="287" t="str">
        <f>+IF(F49="NO APLICA","NO APLICA",IF(E48&gt;0.2,E48*0.2,"NO APLICA"))</f>
        <v>NO APLICA</v>
      </c>
      <c r="O48" s="287" t="str">
        <f>+IF(F49="NO APLICA","NO APLICA",IF(E48&gt;0,E48*0.6,"NO APLICA"))</f>
        <v>NO APLICA</v>
      </c>
      <c r="P48" s="287" t="str">
        <f>+IF(F49="NO APLICA","NO APLICA",IF(E48&gt;0.5,E48*0.8,"NO APLICA"))</f>
        <v>NO APLICA</v>
      </c>
      <c r="Q48" s="26"/>
      <c r="R48" s="288" t="str">
        <f>+IF(F49="NO APLICA","NO APLICA",IF(E48&gt;0.2,E48*0.8,"NO APLICA"))</f>
        <v>NO APLICA</v>
      </c>
      <c r="S48" s="288" t="str">
        <f>+IF(F49="NO APLICA","NO APLICA",IF(E48&gt;0,E48*0.4,"NO APLICA"))</f>
        <v>NO APLICA</v>
      </c>
      <c r="T48" s="288" t="str">
        <f>+IF(F49="NO APLICA","NO APLICA",IF(E48&gt;0.5,E48*0.2,"NO APLICA"))</f>
        <v>NO APLICA</v>
      </c>
      <c r="U48" s="30"/>
      <c r="V48" s="30"/>
      <c r="W48" s="283"/>
      <c r="X48" s="219"/>
      <c r="Y48" s="275"/>
      <c r="Z48" s="283"/>
      <c r="AA48" s="219"/>
      <c r="AB48" s="275"/>
      <c r="AC48" s="283"/>
      <c r="AD48" s="219"/>
      <c r="AE48" s="275"/>
      <c r="AF48" s="277" t="str">
        <f t="shared" ref="AF48" si="68">+IF(OR(ISNUMBER(W48),ISNUMBER(X48),ISNUMBER(Y48)),AVERAGE(W48:Y49),"NO APLICA")</f>
        <v>NO APLICA</v>
      </c>
      <c r="AG48" s="278" t="str">
        <f t="shared" ref="AG48" si="69">+IF(OR(ISNUMBER(Z48),ISNUMBER(AA48),ISNUMBER(AB48)),AVERAGE(Z48:AB49),"NO APLICA")</f>
        <v>NO APLICA</v>
      </c>
      <c r="AH48" s="278" t="str">
        <f t="shared" ref="AH48" si="70">+IF(OR(ISNUMBER(AC48),ISNUMBER(AD48),ISNUMBER(AE48)),AVERAGE(AC48:AE49),"NO APLICA")</f>
        <v>NO APLICA</v>
      </c>
      <c r="AI48" s="279" t="str">
        <f t="shared" ref="AI48" si="71">IF(F49="NO APLICA","NO APLICA",IF(E48&gt;0.5,IF(OR(ISTEXT(AF48),ISTEXT(AG48),ISTEXT(AH48)),"FALTAN DATOS",(AF48+2*AG48+AH48)/4),IF(E48&gt;0.2,IF(OR(ISTEXT(AF48),ISTEXT(AG48)),"FALTAN DATOS",(AF48+AG48)/2),IF(E48&gt;0,IF(ISTEXT(AG48),"FALTAN DATOS",AG48),"NO APLICA"))))</f>
        <v>NO APLICA</v>
      </c>
      <c r="AJ48" s="266" t="str">
        <f t="shared" ref="AJ48" si="72">+IF(OR(AI48="FALTAN DATOS",AI48="NO APLICA"),"NO APLICA",AI48*G48)</f>
        <v>NO APLICA</v>
      </c>
      <c r="AK48" s="49"/>
      <c r="AL48" s="55" t="s">
        <v>42</v>
      </c>
      <c r="AM48" s="66">
        <f>+IF(N36="NO APLICA","",MAX(E28:E63)-E36*0.2)</f>
        <v>0.36799999999999999</v>
      </c>
      <c r="AN48" s="66">
        <f>+IF(N36="NO APLICA","",D36)</f>
        <v>0.76</v>
      </c>
      <c r="AO48" s="66">
        <f>+IF(N36="NO APLICA","",AF36)</f>
        <v>1.0046666666666668</v>
      </c>
      <c r="AP48" s="67">
        <f>+B36</f>
        <v>4</v>
      </c>
      <c r="AQ48" s="45"/>
      <c r="AR48" s="9"/>
      <c r="AS48" s="9"/>
      <c r="AT48" s="9"/>
      <c r="AU48" s="9"/>
      <c r="AV48" s="9"/>
      <c r="AW48" s="9"/>
      <c r="AX48" s="9"/>
      <c r="AY48" s="9"/>
      <c r="AZ48" s="9"/>
      <c r="BA48" s="9"/>
      <c r="BB48" s="9"/>
      <c r="BC48" s="9"/>
      <c r="BD48" s="9"/>
      <c r="BE48" s="9"/>
      <c r="BF48" s="9"/>
      <c r="BG48" s="9"/>
      <c r="BH48" s="9"/>
      <c r="BI48" s="9"/>
      <c r="BJ48" s="9"/>
      <c r="BK48" s="9"/>
    </row>
    <row r="49" spans="1:63" ht="15" customHeight="1" x14ac:dyDescent="0.25">
      <c r="A49" s="9"/>
      <c r="B49" s="268"/>
      <c r="C49" s="270"/>
      <c r="D49" s="272"/>
      <c r="E49" s="220"/>
      <c r="F49" s="159" t="str">
        <f>+IF(C50="NO APLICA","NO APLICA",IF(C48=C50,IF(E50=E48,E50*(D50-D48)/2,IF(E50&gt;E48,(E48*(D50-D48)/2)+(((E50-E48)/2)*(D50-D48)/4),IF(E50&lt;E48,(E48-((E48-E50)/2))*(D50-D48)/2+(((E48-E50)/2)*(D50-D48)/4)))),IF(E50=E48,E50*2*(D50-D48)/2,IF(E50&gt;E48,E48*2*(D50-D48)/2+(((E50-E48))*2*(D50-D48)/4),IF(E50&lt;E48,E50*2*(D50-D48)/2+(((E48-E50))*2*(D50-D48)/4))))))</f>
        <v>NO APLICA</v>
      </c>
      <c r="G49" s="225"/>
      <c r="H49" s="273"/>
      <c r="I49" s="273"/>
      <c r="J49" s="17" t="str">
        <f>+IF(D52="NO APLICA","",D50)</f>
        <v/>
      </c>
      <c r="K49" s="17" t="str">
        <f>IF(C52="NO APLICA","",H50)</f>
        <v/>
      </c>
      <c r="L49" s="17" t="str">
        <f>IF(C52="NO APLICA","",I50)</f>
        <v/>
      </c>
      <c r="M49" s="210"/>
      <c r="N49" s="287"/>
      <c r="O49" s="287"/>
      <c r="P49" s="287"/>
      <c r="Q49" s="26"/>
      <c r="R49" s="288"/>
      <c r="S49" s="288"/>
      <c r="T49" s="288"/>
      <c r="U49" s="30"/>
      <c r="V49" s="30"/>
      <c r="W49" s="286"/>
      <c r="X49" s="220"/>
      <c r="Y49" s="285"/>
      <c r="Z49" s="286"/>
      <c r="AA49" s="220"/>
      <c r="AB49" s="285"/>
      <c r="AC49" s="286"/>
      <c r="AD49" s="220"/>
      <c r="AE49" s="285"/>
      <c r="AF49" s="277"/>
      <c r="AG49" s="278"/>
      <c r="AH49" s="278"/>
      <c r="AI49" s="280"/>
      <c r="AJ49" s="266"/>
      <c r="AK49" s="49"/>
      <c r="AL49" s="55" t="s">
        <v>43</v>
      </c>
      <c r="AM49" s="66">
        <f>+IF(O36="NO APLICA","",MAX(E28:E63)-E36*0.6)</f>
        <v>0.184</v>
      </c>
      <c r="AN49" s="66">
        <f>+IF(O36="NO APLICA","",D36)</f>
        <v>0.76</v>
      </c>
      <c r="AO49" s="66">
        <f>+IF(O36="NO APLICA","",AG36)</f>
        <v>0.98833333333333329</v>
      </c>
      <c r="AP49" s="67">
        <f>+B36</f>
        <v>4</v>
      </c>
      <c r="AQ49" s="45"/>
      <c r="AR49" s="31"/>
      <c r="AS49" s="9"/>
      <c r="AT49" s="9"/>
      <c r="AU49" s="9"/>
      <c r="AV49" s="9"/>
      <c r="AW49" s="9"/>
      <c r="AX49" s="9"/>
      <c r="AY49" s="9"/>
      <c r="AZ49" s="9"/>
      <c r="BA49" s="9"/>
      <c r="BB49" s="9"/>
      <c r="BC49" s="9"/>
      <c r="BD49" s="9"/>
      <c r="BE49" s="9"/>
      <c r="BF49" s="9"/>
      <c r="BG49" s="9"/>
      <c r="BH49" s="9"/>
      <c r="BI49" s="9"/>
      <c r="BJ49" s="9"/>
      <c r="BK49" s="9"/>
    </row>
    <row r="50" spans="1:63" ht="15" customHeight="1" x14ac:dyDescent="0.25">
      <c r="A50" s="9"/>
      <c r="B50" s="267" t="str">
        <f>+IF(C50="NO APLICA","S/N",IF(C48&gt;C50,"Final",11))</f>
        <v>S/N</v>
      </c>
      <c r="C50" s="269" t="str">
        <f>+IF(C23=10,C24/2,IF(C23&gt;10,C24,"NO APLICA"))</f>
        <v>NO APLICA</v>
      </c>
      <c r="D50" s="271" t="str">
        <f>IF(C50="NO APLICA","NO APLICA",ROUND(C30+C32+C34+C36+C38+C40+C42+C44+C46+C48+C50,2))</f>
        <v>NO APLICA</v>
      </c>
      <c r="E50" s="219"/>
      <c r="F50" s="5" t="str">
        <f>+IF(C50="NO APLICA","NO APLICA",IF(E50=E48,E50*(D50-D48)/2,IF(E50&gt;E48,(E50-((E50-E48)/2))*(D50-D48)/2+(((E50-E48)/2)*(D50-D48)/4),IF(E50&lt;E48,(E50*(D50-D48)/2)+(((E48-E50)/2)*(D50-D48)/4)))))</f>
        <v>NO APLICA</v>
      </c>
      <c r="G50" s="225" t="str">
        <f t="shared" ref="G50" si="73">+IF(F51="NO APLICA","NO APLICA",F50+F51)</f>
        <v>NO APLICA</v>
      </c>
      <c r="H50" s="273" t="str">
        <f t="shared" ref="H50" si="74">+IF(C50="NO APLICA","",MAX(E$28:E$63))</f>
        <v/>
      </c>
      <c r="I50" s="273" t="str">
        <f t="shared" ref="I50" si="75">+IF(C50="NO APLICA","",H50-E50)</f>
        <v/>
      </c>
      <c r="J50" s="23" t="str">
        <f>+IF(D52="NO APLICA","",(D50+D52)/2)</f>
        <v/>
      </c>
      <c r="K50" s="23" t="str">
        <f>+IF(K49=K48,K49,"")</f>
        <v/>
      </c>
      <c r="L50" s="23" t="str">
        <f>+IF(L51="","",(L49+L51)/2)</f>
        <v/>
      </c>
      <c r="M50" s="210"/>
      <c r="N50" s="287" t="str">
        <f>+IF(F51="NO APLICA","NO APLICA",IF(E50&gt;0.2,E50*0.2,"NO APLICA"))</f>
        <v>NO APLICA</v>
      </c>
      <c r="O50" s="287" t="str">
        <f>+IF(F51="NO APLICA","NO APLICA",IF(E50&gt;0,E50*0.6,"NO APLICA"))</f>
        <v>NO APLICA</v>
      </c>
      <c r="P50" s="287" t="str">
        <f>+IF(F51="NO APLICA","NO APLICA",IF(E50&gt;0.5,E50*0.8,"NO APLICA"))</f>
        <v>NO APLICA</v>
      </c>
      <c r="Q50" s="26"/>
      <c r="R50" s="288" t="str">
        <f>+IF(F51="NO APLICA","NO APLICA",IF(E50&gt;0.2,E50*0.8,"NO APLICA"))</f>
        <v>NO APLICA</v>
      </c>
      <c r="S50" s="288" t="str">
        <f>+IF(F51="NO APLICA","NO APLICA",IF(E50&gt;0,E50*0.4,"NO APLICA"))</f>
        <v>NO APLICA</v>
      </c>
      <c r="T50" s="288" t="str">
        <f>+IF(F51="NO APLICA","NO APLICA",IF(E50&gt;0.5,E50*0.2,"NO APLICA"))</f>
        <v>NO APLICA</v>
      </c>
      <c r="U50" s="30"/>
      <c r="V50" s="30"/>
      <c r="W50" s="283"/>
      <c r="X50" s="219"/>
      <c r="Y50" s="275"/>
      <c r="Z50" s="283"/>
      <c r="AA50" s="219"/>
      <c r="AB50" s="275"/>
      <c r="AC50" s="283"/>
      <c r="AD50" s="219"/>
      <c r="AE50" s="275"/>
      <c r="AF50" s="277" t="str">
        <f t="shared" ref="AF50" si="76">+IF(OR(ISNUMBER(W50),ISNUMBER(X50),ISNUMBER(Y50)),AVERAGE(W50:Y51),"NO APLICA")</f>
        <v>NO APLICA</v>
      </c>
      <c r="AG50" s="278" t="str">
        <f t="shared" ref="AG50" si="77">+IF(OR(ISNUMBER(Z50),ISNUMBER(AA50),ISNUMBER(AB50)),AVERAGE(Z50:AB51),"NO APLICA")</f>
        <v>NO APLICA</v>
      </c>
      <c r="AH50" s="278" t="str">
        <f t="shared" ref="AH50" si="78">+IF(OR(ISNUMBER(AC50),ISNUMBER(AD50),ISNUMBER(AE50)),AVERAGE(AC50:AE51),"NO APLICA")</f>
        <v>NO APLICA</v>
      </c>
      <c r="AI50" s="279" t="str">
        <f t="shared" ref="AI50" si="79">IF(F51="NO APLICA","NO APLICA",IF(E50&gt;0.5,IF(OR(ISTEXT(AF50),ISTEXT(AG50),ISTEXT(AH50)),"FALTAN DATOS",(AF50+2*AG50+AH50)/4),IF(E50&gt;0.2,IF(OR(ISTEXT(AF50),ISTEXT(AG50)),"FALTAN DATOS",(AF50+AG50)/2),IF(E50&gt;0,IF(ISTEXT(AG50),"FALTAN DATOS",AG50),"NO APLICA"))))</f>
        <v>NO APLICA</v>
      </c>
      <c r="AJ50" s="266" t="str">
        <f t="shared" ref="AJ50" si="80">+IF(OR(AI50="FALTAN DATOS",AI50="NO APLICA"),"NO APLICA",AI50*G50)</f>
        <v>NO APLICA</v>
      </c>
      <c r="AK50" s="49"/>
      <c r="AL50" s="55" t="s">
        <v>44</v>
      </c>
      <c r="AM50" s="66" t="str">
        <f>+IF(P36="NO APLICA","",MAX(E28:E63)-E36*0.8)</f>
        <v/>
      </c>
      <c r="AN50" s="66" t="str">
        <f>+IF(P36="NO APLICA","",D36)</f>
        <v/>
      </c>
      <c r="AO50" s="66" t="str">
        <f>+IF(P36="NO APLICA","",AH36)</f>
        <v/>
      </c>
      <c r="AP50" s="67">
        <f>+B36</f>
        <v>4</v>
      </c>
      <c r="AQ50" s="45"/>
      <c r="AR50" s="31"/>
      <c r="AS50" s="9"/>
      <c r="AT50" s="9"/>
      <c r="AU50" s="9"/>
      <c r="AV50" s="9"/>
      <c r="AW50" s="9"/>
      <c r="AX50" s="9"/>
      <c r="AY50" s="9"/>
      <c r="AZ50" s="9"/>
      <c r="BA50" s="9"/>
      <c r="BB50" s="9"/>
      <c r="BC50" s="9"/>
      <c r="BD50" s="9"/>
      <c r="BE50" s="9"/>
      <c r="BF50" s="9"/>
      <c r="BG50" s="9"/>
      <c r="BH50" s="9"/>
      <c r="BI50" s="9"/>
      <c r="BJ50" s="9"/>
      <c r="BK50" s="9"/>
    </row>
    <row r="51" spans="1:63" ht="15" customHeight="1" x14ac:dyDescent="0.25">
      <c r="A51" s="9"/>
      <c r="B51" s="268"/>
      <c r="C51" s="270"/>
      <c r="D51" s="272"/>
      <c r="E51" s="220"/>
      <c r="F51" s="159" t="str">
        <f>+IF(C52="NO APLICA","NO APLICA",IF(C50=C52,IF(E52=E50,E52*(D52-D50)/2,IF(E52&gt;E50,(E50*(D52-D50)/2)+(((E52-E50)/2)*(D52-D50)/4),IF(E52&lt;E50,(E50-((E50-E52)/2))*(D52-D50)/2+(((E50-E52)/2)*(D52-D50)/4)))),IF(E52=E50,E52*2*(D52-D50)/2,IF(E52&gt;E50,E50*2*(D52-D50)/2+(((E52-E50))*2*(D52-D50)/4),IF(E52&lt;E50,E52*2*(D52-D50)/2+(((E50-E52))*2*(D52-D50)/4))))))</f>
        <v>NO APLICA</v>
      </c>
      <c r="G51" s="225"/>
      <c r="H51" s="273"/>
      <c r="I51" s="273"/>
      <c r="J51" s="17" t="str">
        <f>+IF(D52="NO APLICA","",D52)</f>
        <v/>
      </c>
      <c r="K51" s="17" t="str">
        <f>+H52</f>
        <v/>
      </c>
      <c r="L51" s="17" t="str">
        <f>+I52</f>
        <v/>
      </c>
      <c r="M51" s="210"/>
      <c r="N51" s="287"/>
      <c r="O51" s="287"/>
      <c r="P51" s="287"/>
      <c r="Q51" s="26"/>
      <c r="R51" s="288"/>
      <c r="S51" s="288"/>
      <c r="T51" s="288"/>
      <c r="U51" s="30"/>
      <c r="V51" s="30"/>
      <c r="W51" s="286"/>
      <c r="X51" s="220"/>
      <c r="Y51" s="285"/>
      <c r="Z51" s="286"/>
      <c r="AA51" s="220"/>
      <c r="AB51" s="285"/>
      <c r="AC51" s="286"/>
      <c r="AD51" s="220"/>
      <c r="AE51" s="285"/>
      <c r="AF51" s="277"/>
      <c r="AG51" s="278"/>
      <c r="AH51" s="278"/>
      <c r="AI51" s="280"/>
      <c r="AJ51" s="266"/>
      <c r="AK51" s="49"/>
      <c r="AL51" s="55" t="s">
        <v>52</v>
      </c>
      <c r="AM51" s="68">
        <f>+IF(AM50="",IF(AM49="","",(AM47-AM52)*0.1+AM52),(AM47-AM52)*0.1+AM52)</f>
        <v>4.6000000000000006E-2</v>
      </c>
      <c r="AN51" s="68">
        <f>+IF(AN50="",IF(AN49="","",AN49),AN50)</f>
        <v>0.76</v>
      </c>
      <c r="AO51" s="68">
        <f>+IF(AO50="",IF(AO49="","",AO49*0.75),AO50*0.85)</f>
        <v>0.74124999999999996</v>
      </c>
      <c r="AP51" s="64">
        <f>+B36</f>
        <v>4</v>
      </c>
      <c r="AQ51" s="9"/>
      <c r="AR51" s="31"/>
      <c r="AS51" s="9"/>
      <c r="AT51" s="9"/>
      <c r="AU51" s="9"/>
      <c r="AV51" s="9"/>
      <c r="AW51" s="9"/>
      <c r="AX51" s="9"/>
      <c r="AY51" s="9"/>
      <c r="AZ51" s="9"/>
      <c r="BA51" s="9"/>
      <c r="BB51" s="9"/>
      <c r="BC51" s="9"/>
      <c r="BD51" s="9"/>
      <c r="BE51" s="9"/>
      <c r="BF51" s="9"/>
      <c r="BG51" s="9"/>
      <c r="BH51" s="9"/>
      <c r="BI51" s="9"/>
      <c r="BJ51" s="9"/>
      <c r="BK51" s="9"/>
    </row>
    <row r="52" spans="1:63" ht="15" customHeight="1" x14ac:dyDescent="0.25">
      <c r="A52" s="9"/>
      <c r="B52" s="267" t="str">
        <f>+IF(C52="NO APLICA","S/N",12)</f>
        <v>S/N</v>
      </c>
      <c r="C52" s="269" t="str">
        <f>+IF(C23&gt;10,C24,"NO APLICA")</f>
        <v>NO APLICA</v>
      </c>
      <c r="D52" s="271" t="str">
        <f>IF(C52="NO APLICA","NO APLICA",ROUND(C30+C32+C34+C36+C38+C40+C42+C44+C46+C48+C50+C52,2))</f>
        <v>NO APLICA</v>
      </c>
      <c r="E52" s="219"/>
      <c r="F52" s="5" t="str">
        <f>+IF(C52="NO APLICA","NO APLICA",IF(E52=E50,E52*(D52-D50)/2,IF(E52&gt;E50,(E52-((E52-E50)/2))*(D52-D50)/2+(((E52-E50)/2)*(D52-D50)/4),IF(E52&lt;E50,(E52*(D52-D50)/2)+(((E50-E52)/2)*(D52-D50)/4)))))</f>
        <v>NO APLICA</v>
      </c>
      <c r="G52" s="225" t="str">
        <f t="shared" ref="G52" si="81">+IF(F53="NO APLICA","NO APLICA",F52+F53)</f>
        <v>NO APLICA</v>
      </c>
      <c r="H52" s="273" t="str">
        <f t="shared" ref="H52" si="82">+IF(C52="NO APLICA","",MAX(E$28:E$63))</f>
        <v/>
      </c>
      <c r="I52" s="273" t="str">
        <f t="shared" ref="I52" si="83">+IF(C52="NO APLICA","",H52-E52)</f>
        <v/>
      </c>
      <c r="J52" s="23" t="str">
        <f>+IF(D54="NO APLICA","",(D52+D54)/2)</f>
        <v/>
      </c>
      <c r="K52" s="23" t="str">
        <f>+IF(K51=K50,K51,"")</f>
        <v/>
      </c>
      <c r="L52" s="23" t="str">
        <f>+IF(L53="","",(L51+L53)/2)</f>
        <v/>
      </c>
      <c r="M52" s="210"/>
      <c r="N52" s="287" t="str">
        <f>+IF(F53="NO APLICA","NO APLICA",IF(E52&gt;0.2,E52*0.2,"NO APLICA"))</f>
        <v>NO APLICA</v>
      </c>
      <c r="O52" s="287" t="str">
        <f>+IF(F53="NO APLICA","NO APLICA",IF(E52&gt;0,E52*0.6,"NO APLICA"))</f>
        <v>NO APLICA</v>
      </c>
      <c r="P52" s="287" t="str">
        <f>+IF(F53="NO APLICA","NO APLICA",IF(E52&gt;0.5,E52*0.8,"NO APLICA"))</f>
        <v>NO APLICA</v>
      </c>
      <c r="Q52" s="26"/>
      <c r="R52" s="288" t="str">
        <f>+IF(F53="NO APLICA","NO APLICA",IF(E52&gt;0.2,E52*0.8,"NO APLICA"))</f>
        <v>NO APLICA</v>
      </c>
      <c r="S52" s="288" t="str">
        <f>+IF(F53="NO APLICA","NO APLICA",IF(E52&gt;0,E52*0.4,"NO APLICA"))</f>
        <v>NO APLICA</v>
      </c>
      <c r="T52" s="288" t="str">
        <f>+IF(F53="NO APLICA","NO APLICA",IF(E52&gt;0.5,E52*0.2,"NO APLICA"))</f>
        <v>NO APLICA</v>
      </c>
      <c r="U52" s="30"/>
      <c r="V52" s="30"/>
      <c r="W52" s="283"/>
      <c r="X52" s="219"/>
      <c r="Y52" s="275"/>
      <c r="Z52" s="283"/>
      <c r="AA52" s="219"/>
      <c r="AB52" s="275"/>
      <c r="AC52" s="283"/>
      <c r="AD52" s="219"/>
      <c r="AE52" s="275"/>
      <c r="AF52" s="277" t="str">
        <f t="shared" ref="AF52" si="84">+IF(OR(ISNUMBER(W52),ISNUMBER(X52),ISNUMBER(Y52)),AVERAGE(W52:Y53),"NO APLICA")</f>
        <v>NO APLICA</v>
      </c>
      <c r="AG52" s="278" t="str">
        <f t="shared" ref="AG52" si="85">+IF(OR(ISNUMBER(Z52),ISNUMBER(AA52),ISNUMBER(AB52)),AVERAGE(Z52:AB53),"NO APLICA")</f>
        <v>NO APLICA</v>
      </c>
      <c r="AH52" s="278" t="str">
        <f t="shared" ref="AH52" si="86">+IF(OR(ISNUMBER(AC52),ISNUMBER(AD52),ISNUMBER(AE52)),AVERAGE(AC52:AE53),"NO APLICA")</f>
        <v>NO APLICA</v>
      </c>
      <c r="AI52" s="279" t="str">
        <f t="shared" ref="AI52" si="87">IF(F53="NO APLICA","NO APLICA",IF(E52&gt;0.5,IF(OR(ISTEXT(AF52),ISTEXT(AG52),ISTEXT(AH52)),"FALTAN DATOS",(AF52+2*AG52+AH52)/4),IF(E52&gt;0.2,IF(OR(ISTEXT(AF52),ISTEXT(AG52)),"FALTAN DATOS",(AF52+AG52)/2),IF(E52&gt;0,IF(ISTEXT(AG52),"FALTAN DATOS",AG52),"NO APLICA"))))</f>
        <v>NO APLICA</v>
      </c>
      <c r="AJ52" s="266" t="str">
        <f t="shared" ref="AJ52" si="88">+IF(OR(AI52="FALTAN DATOS",AI52="NO APLICA"),"NO APLICA",AI52*G52)</f>
        <v>NO APLICA</v>
      </c>
      <c r="AK52" s="49"/>
      <c r="AL52" s="56" t="s">
        <v>45</v>
      </c>
      <c r="AM52" s="70">
        <f>+IF(C36="NO APLICA","",IF(C34=C36*2,MAX(E28:E63)-E36,IF(O36="NO APLICA","",MAX(E28:E63)-E36)))</f>
        <v>0</v>
      </c>
      <c r="AN52" s="70">
        <f>+IF(C36="NO APLICA","",IF(C34=C36*2,D36,IF(O36="NO APLICA","",D36)))</f>
        <v>0.76</v>
      </c>
      <c r="AO52" s="70">
        <f>+IF(C36="NO APLICA","",IF(C34=C36*2,0,IF(O36="NO APLICA","",0)))</f>
        <v>0</v>
      </c>
      <c r="AP52" s="71">
        <f>+B36</f>
        <v>4</v>
      </c>
      <c r="AQ52" s="45"/>
      <c r="AR52" s="31"/>
      <c r="AS52" s="9"/>
      <c r="AT52" s="9"/>
      <c r="AU52" s="9"/>
      <c r="AV52" s="9"/>
      <c r="AW52" s="9"/>
      <c r="AX52" s="9"/>
      <c r="AY52" s="9"/>
      <c r="AZ52" s="9"/>
      <c r="BA52" s="9"/>
      <c r="BB52" s="9"/>
      <c r="BC52" s="9"/>
      <c r="BD52" s="9"/>
      <c r="BE52" s="9"/>
      <c r="BF52" s="9"/>
      <c r="BG52" s="9"/>
      <c r="BH52" s="9"/>
      <c r="BI52" s="9"/>
      <c r="BJ52" s="9"/>
      <c r="BK52" s="9"/>
    </row>
    <row r="53" spans="1:63" ht="15" customHeight="1" x14ac:dyDescent="0.25">
      <c r="A53" s="9"/>
      <c r="B53" s="268"/>
      <c r="C53" s="270"/>
      <c r="D53" s="272"/>
      <c r="E53" s="220"/>
      <c r="F53" s="159" t="str">
        <f>+IF(C54="NO APLICA","NO APLICA",IF(C52=C54,IF(E54=E52,E54*(D54-D52)/2,IF(E54&gt;E52,(E52*(D54-D52)/2)+(((E54-E52)/2)*(D54-D52)/4),IF(E54&lt;E52,(E52-((E52-E54)/2))*(D54-D52)/2+(((E52-E54)/2)*(D54-D52)/4)))),IF(E54=E52,E54*2*(D54-D52)/2,IF(E54&gt;E52,E52*2*(D54-D52)/2+(((E54-E52))*2*(D54-D52)/4),IF(E54&lt;E52,E54*2*(D54-D52)/2+(((E52-E54))*2*(D54-D52)/4))))))</f>
        <v>NO APLICA</v>
      </c>
      <c r="G53" s="225"/>
      <c r="H53" s="273"/>
      <c r="I53" s="273"/>
      <c r="J53" s="17" t="str">
        <f>+IF(D54="NO APLICA","",D54)</f>
        <v/>
      </c>
      <c r="K53" s="17" t="str">
        <f>+H54</f>
        <v/>
      </c>
      <c r="L53" s="17" t="str">
        <f>+I54</f>
        <v/>
      </c>
      <c r="M53" s="210"/>
      <c r="N53" s="287"/>
      <c r="O53" s="287"/>
      <c r="P53" s="287"/>
      <c r="Q53" s="26"/>
      <c r="R53" s="288"/>
      <c r="S53" s="288"/>
      <c r="T53" s="288"/>
      <c r="U53" s="30"/>
      <c r="V53" s="30"/>
      <c r="W53" s="286"/>
      <c r="X53" s="220"/>
      <c r="Y53" s="285"/>
      <c r="Z53" s="286"/>
      <c r="AA53" s="220"/>
      <c r="AB53" s="285"/>
      <c r="AC53" s="286"/>
      <c r="AD53" s="220"/>
      <c r="AE53" s="285"/>
      <c r="AF53" s="277"/>
      <c r="AG53" s="278"/>
      <c r="AH53" s="278"/>
      <c r="AI53" s="280"/>
      <c r="AJ53" s="266"/>
      <c r="AK53" s="49"/>
      <c r="AL53" s="54" t="s">
        <v>41</v>
      </c>
      <c r="AM53" s="62">
        <f>+IF(O38="NO APLICA","",MAX(E28:E63))</f>
        <v>0.46</v>
      </c>
      <c r="AN53" s="62">
        <f>+IF(AN54="",IF(AN55="","",AN55),AN54)</f>
        <v>0.98</v>
      </c>
      <c r="AO53" s="62">
        <f>+IF(AO54="",IF(AO55="","",AO55*1.25),AO54*1.15)</f>
        <v>1.1726166666666666</v>
      </c>
      <c r="AP53" s="63">
        <f>+B38</f>
        <v>5</v>
      </c>
      <c r="AQ53" s="44"/>
      <c r="AR53" s="31"/>
      <c r="AS53" s="9"/>
      <c r="AT53" s="9"/>
      <c r="AU53" s="9"/>
      <c r="AV53" s="9"/>
      <c r="AW53" s="9"/>
      <c r="AX53" s="9"/>
      <c r="AY53" s="9"/>
      <c r="AZ53" s="9"/>
      <c r="BA53" s="9"/>
      <c r="BB53" s="9"/>
      <c r="BC53" s="9"/>
      <c r="BD53" s="9"/>
      <c r="BE53" s="9"/>
      <c r="BF53" s="9"/>
      <c r="BG53" s="9"/>
      <c r="BH53" s="9"/>
      <c r="BI53" s="9"/>
      <c r="BJ53" s="9"/>
      <c r="BK53" s="9"/>
    </row>
    <row r="54" spans="1:63" ht="15" customHeight="1" x14ac:dyDescent="0.25">
      <c r="A54" s="9"/>
      <c r="B54" s="267" t="str">
        <f>+IF(C54="NO APLICA","S/N",13)</f>
        <v>S/N</v>
      </c>
      <c r="C54" s="269" t="str">
        <f>+IF(C23&gt;10,C24,"NO APLICA")</f>
        <v>NO APLICA</v>
      </c>
      <c r="D54" s="271" t="str">
        <f>IF(C54="NO APLICA","NO APLICA",ROUND(C30+C32+C34+C36+C38+C40+C42+C44+C46+C48+C50+C52+C54,2))</f>
        <v>NO APLICA</v>
      </c>
      <c r="E54" s="219"/>
      <c r="F54" s="5" t="str">
        <f>+IF(C54="NO APLICA","NO APLICA",IF(E54=E52,E54*(D54-D52)/2,IF(E54&gt;E52,(E54-((E54-E52)/2))*(D54-D52)/2+(((E54-E52)/2)*(D54-D52)/4),IF(E54&lt;E52,(E54*(D54-D52)/2)+(((E52-E54)/2)*(D54-D52)/4)))))</f>
        <v>NO APLICA</v>
      </c>
      <c r="G54" s="225" t="str">
        <f t="shared" ref="G54" si="89">+IF(F55="NO APLICA","NO APLICA",F54+F55)</f>
        <v>NO APLICA</v>
      </c>
      <c r="H54" s="273" t="str">
        <f t="shared" ref="H54" si="90">+IF(C54="NO APLICA","",MAX(E$28:E$63))</f>
        <v/>
      </c>
      <c r="I54" s="273" t="str">
        <f t="shared" ref="I54" si="91">+IF(C54="NO APLICA","",H54-E54)</f>
        <v/>
      </c>
      <c r="J54" s="23" t="str">
        <f>+IF(D56="NO APLICA","",(D54+D56)/2)</f>
        <v/>
      </c>
      <c r="K54" s="23" t="str">
        <f>+IF(K53=K52,K53,"")</f>
        <v/>
      </c>
      <c r="L54" s="23" t="str">
        <f>+IF(L55="","",(L53+L55)/2)</f>
        <v/>
      </c>
      <c r="M54" s="210"/>
      <c r="N54" s="287" t="str">
        <f>+IF(F55="NO APLICA","NO APLICA",IF(E54&gt;0.2,E54*0.2,"NO APLICA"))</f>
        <v>NO APLICA</v>
      </c>
      <c r="O54" s="287" t="str">
        <f>+IF(F55="NO APLICA","NO APLICA",IF(E54&gt;0,E54*0.6,"NO APLICA"))</f>
        <v>NO APLICA</v>
      </c>
      <c r="P54" s="287" t="str">
        <f>+IF(F55="NO APLICA","NO APLICA",IF(E54&gt;0.5,E54*0.8,"NO APLICA"))</f>
        <v>NO APLICA</v>
      </c>
      <c r="Q54" s="26"/>
      <c r="R54" s="288" t="str">
        <f>+IF(F55="NO APLICA","NO APLICA",IF(E54&gt;0.2,E54*0.8,"NO APLICA"))</f>
        <v>NO APLICA</v>
      </c>
      <c r="S54" s="288" t="str">
        <f>+IF(F55="NO APLICA","NO APLICA",IF(E54&gt;0,E54*0.4,"NO APLICA"))</f>
        <v>NO APLICA</v>
      </c>
      <c r="T54" s="288" t="str">
        <f>+IF(F55="NO APLICA","NO APLICA",IF(E54&gt;0.5,E54*0.2,"NO APLICA"))</f>
        <v>NO APLICA</v>
      </c>
      <c r="U54" s="30"/>
      <c r="V54" s="30"/>
      <c r="W54" s="283"/>
      <c r="X54" s="219"/>
      <c r="Y54" s="275"/>
      <c r="Z54" s="283"/>
      <c r="AA54" s="219"/>
      <c r="AB54" s="275"/>
      <c r="AC54" s="283"/>
      <c r="AD54" s="219"/>
      <c r="AE54" s="275"/>
      <c r="AF54" s="277" t="str">
        <f t="shared" ref="AF54" si="92">+IF(OR(ISNUMBER(W54),ISNUMBER(X54),ISNUMBER(Y54)),AVERAGE(W54:Y55),"NO APLICA")</f>
        <v>NO APLICA</v>
      </c>
      <c r="AG54" s="278" t="str">
        <f t="shared" ref="AG54" si="93">+IF(OR(ISNUMBER(Z54),ISNUMBER(AA54),ISNUMBER(AB54)),AVERAGE(Z54:AB55),"NO APLICA")</f>
        <v>NO APLICA</v>
      </c>
      <c r="AH54" s="278" t="str">
        <f t="shared" ref="AH54" si="94">+IF(OR(ISNUMBER(AC54),ISNUMBER(AD54),ISNUMBER(AE54)),AVERAGE(AC54:AE55),"NO APLICA")</f>
        <v>NO APLICA</v>
      </c>
      <c r="AI54" s="279" t="str">
        <f t="shared" ref="AI54" si="95">IF(F55="NO APLICA","NO APLICA",IF(E54&gt;0.5,IF(OR(ISTEXT(AF54),ISTEXT(AG54),ISTEXT(AH54)),"FALTAN DATOS",(AF54+2*AG54+AH54)/4),IF(E54&gt;0.2,IF(OR(ISTEXT(AF54),ISTEXT(AG54)),"FALTAN DATOS",(AF54+AG54)/2),IF(E54&gt;0,IF(ISTEXT(AG54),"FALTAN DATOS",AG54),"NO APLICA"))))</f>
        <v>NO APLICA</v>
      </c>
      <c r="AJ54" s="266" t="str">
        <f t="shared" ref="AJ54" si="96">+IF(OR(AI54="FALTAN DATOS",AI54="NO APLICA"),"NO APLICA",AI54*G54)</f>
        <v>NO APLICA</v>
      </c>
      <c r="AK54" s="49"/>
      <c r="AL54" s="55" t="s">
        <v>42</v>
      </c>
      <c r="AM54" s="66">
        <f>+IF(N38="NO APLICA","",MAX(E28:E63)-E38*0.2)</f>
        <v>0.36799999999999999</v>
      </c>
      <c r="AN54" s="66">
        <f>+IF(N38="NO APLICA","",D38)</f>
        <v>0.98</v>
      </c>
      <c r="AO54" s="66">
        <f>+IF(N38="NO APLICA","",AF38)</f>
        <v>1.0196666666666667</v>
      </c>
      <c r="AP54" s="67">
        <f>+B38</f>
        <v>5</v>
      </c>
      <c r="AQ54" s="44"/>
      <c r="AR54" s="31"/>
      <c r="AS54" s="9"/>
      <c r="AT54" s="9"/>
      <c r="AU54" s="9"/>
      <c r="AV54" s="9"/>
      <c r="AW54" s="9"/>
      <c r="AX54" s="9"/>
      <c r="AY54" s="9"/>
      <c r="AZ54" s="9"/>
      <c r="BA54" s="9"/>
      <c r="BB54" s="9"/>
      <c r="BC54" s="9"/>
      <c r="BD54" s="9"/>
      <c r="BE54" s="9"/>
      <c r="BF54" s="9"/>
      <c r="BG54" s="9"/>
      <c r="BH54" s="9"/>
      <c r="BI54" s="9"/>
      <c r="BJ54" s="9"/>
      <c r="BK54" s="9"/>
    </row>
    <row r="55" spans="1:63" ht="15" customHeight="1" x14ac:dyDescent="0.25">
      <c r="A55" s="9"/>
      <c r="B55" s="268"/>
      <c r="C55" s="270"/>
      <c r="D55" s="272"/>
      <c r="E55" s="220"/>
      <c r="F55" s="159" t="str">
        <f>+IF(C56="NO APLICA","NO APLICA",IF(C54=C56,IF(E56=E54,E56*(D56-D54)/2,IF(E56&gt;E54,(E54*(D56-D54)/2)+(((E56-E54)/2)*(D56-D54)/4),IF(E56&lt;E54,(E54-((E54-E56)/2))*(D56-D54)/2+(((E54-E56)/2)*(D56-D54)/4)))),IF(E56=E54,E56*2*(D56-D54)/2,IF(E56&gt;E54,E54*2*(D56-D54)/2+(((E56-E54))*2*(D56-D54)/4),IF(E56&lt;E54,E56*2*(D56-D54)/2+(((E54-E56))*2*(D56-D54)/4))))))</f>
        <v>NO APLICA</v>
      </c>
      <c r="G55" s="225"/>
      <c r="H55" s="273"/>
      <c r="I55" s="273"/>
      <c r="J55" s="17" t="str">
        <f>+IF(D56="NO APLICA","",D56)</f>
        <v/>
      </c>
      <c r="K55" s="17" t="str">
        <f>+H56</f>
        <v/>
      </c>
      <c r="L55" s="17" t="str">
        <f>+I56</f>
        <v/>
      </c>
      <c r="M55" s="210"/>
      <c r="N55" s="287"/>
      <c r="O55" s="287"/>
      <c r="P55" s="287"/>
      <c r="Q55" s="26"/>
      <c r="R55" s="288"/>
      <c r="S55" s="288"/>
      <c r="T55" s="288"/>
      <c r="U55" s="30"/>
      <c r="V55" s="30"/>
      <c r="W55" s="286"/>
      <c r="X55" s="220"/>
      <c r="Y55" s="285"/>
      <c r="Z55" s="286"/>
      <c r="AA55" s="220"/>
      <c r="AB55" s="285"/>
      <c r="AC55" s="286"/>
      <c r="AD55" s="220"/>
      <c r="AE55" s="285"/>
      <c r="AF55" s="277"/>
      <c r="AG55" s="278"/>
      <c r="AH55" s="278"/>
      <c r="AI55" s="280"/>
      <c r="AJ55" s="266"/>
      <c r="AK55" s="49"/>
      <c r="AL55" s="55" t="s">
        <v>43</v>
      </c>
      <c r="AM55" s="66">
        <f>+IF(O38="NO APLICA","",MAX(E28:E63)-E38*0.6)</f>
        <v>0.184</v>
      </c>
      <c r="AN55" s="66">
        <f>+IF(O38="NO APLICA","",D38)</f>
        <v>0.98</v>
      </c>
      <c r="AO55" s="66">
        <f>+IF(O38="NO APLICA","",AG38)</f>
        <v>0.95366666666666655</v>
      </c>
      <c r="AP55" s="67">
        <f>+B38</f>
        <v>5</v>
      </c>
      <c r="AQ55" s="44"/>
      <c r="AR55" s="31"/>
      <c r="AS55" s="9"/>
      <c r="AT55" s="9"/>
      <c r="AU55" s="9"/>
      <c r="AV55" s="9"/>
      <c r="AW55" s="9"/>
      <c r="AX55" s="9"/>
      <c r="AY55" s="9"/>
      <c r="AZ55" s="9"/>
      <c r="BA55" s="9"/>
      <c r="BB55" s="9"/>
      <c r="BC55" s="9"/>
      <c r="BD55" s="9"/>
      <c r="BE55" s="9"/>
      <c r="BF55" s="9"/>
      <c r="BG55" s="9"/>
      <c r="BH55" s="9"/>
      <c r="BI55" s="9"/>
      <c r="BJ55" s="9"/>
      <c r="BK55" s="9"/>
    </row>
    <row r="56" spans="1:63" ht="15" customHeight="1" x14ac:dyDescent="0.25">
      <c r="A56" s="9"/>
      <c r="B56" s="267" t="str">
        <f>+IF(C56="NO APLICA","S/N",14)</f>
        <v>S/N</v>
      </c>
      <c r="C56" s="269" t="str">
        <f>+IF(C23&gt;10,C24,"NO APLICA")</f>
        <v>NO APLICA</v>
      </c>
      <c r="D56" s="271" t="str">
        <f>IF(C56="NO APLICA","NO APLICA",ROUND(C30+C32+C34+C36+C38+C40+C42+C44+C46+C48+C50+C52+C54+C56,2))</f>
        <v>NO APLICA</v>
      </c>
      <c r="E56" s="219"/>
      <c r="F56" s="5" t="str">
        <f>+IF(C56="NO APLICA","NO APLICA",IF(E56=E54,E56*(D56-D54)/2,IF(E56&gt;E54,(E56-((E56-E54)/2))*(D56-D54)/2+(((E56-E54)/2)*(D56-D54)/4),IF(E56&lt;E54,(E56*(D56-D54)/2)+(((E54-E56)/2)*(D56-D54)/4)))))</f>
        <v>NO APLICA</v>
      </c>
      <c r="G56" s="225" t="str">
        <f t="shared" ref="G56" si="97">+IF(F57="NO APLICA","NO APLICA",F56+F57)</f>
        <v>NO APLICA</v>
      </c>
      <c r="H56" s="273" t="str">
        <f t="shared" ref="H56" si="98">+IF(C56="NO APLICA","",MAX(E$28:E$63))</f>
        <v/>
      </c>
      <c r="I56" s="273" t="str">
        <f t="shared" ref="I56" si="99">+IF(C56="NO APLICA","",H56-E56)</f>
        <v/>
      </c>
      <c r="J56" s="23" t="str">
        <f>+IF(D58="NO APLICA","",(D56+D58)/2)</f>
        <v/>
      </c>
      <c r="K56" s="23" t="str">
        <f>+IF(K55=K54,K55,"")</f>
        <v/>
      </c>
      <c r="L56" s="23" t="str">
        <f>+IF(L57="","",(L55+L57)/2)</f>
        <v/>
      </c>
      <c r="M56" s="210"/>
      <c r="N56" s="287" t="str">
        <f>+IF(F57="NO APLICA","NO APLICA",IF(E56&gt;0.2,E56*0.2,"NO APLICA"))</f>
        <v>NO APLICA</v>
      </c>
      <c r="O56" s="287" t="str">
        <f>+IF(F57="NO APLICA","NO APLICA",IF(E56&gt;0,E56*0.6,"NO APLICA"))</f>
        <v>NO APLICA</v>
      </c>
      <c r="P56" s="287" t="str">
        <f>+IF(F57="NO APLICA","NO APLICA",IF(E56&gt;0.5,E56*0.8,"NO APLICA"))</f>
        <v>NO APLICA</v>
      </c>
      <c r="Q56" s="26"/>
      <c r="R56" s="288" t="str">
        <f>+IF(F57="NO APLICA","NO APLICA",IF(E56&gt;0.2,E56*0.8,"NO APLICA"))</f>
        <v>NO APLICA</v>
      </c>
      <c r="S56" s="288" t="str">
        <f>+IF(F57="NO APLICA","NO APLICA",IF(E56&gt;0,E56*0.4,"NO APLICA"))</f>
        <v>NO APLICA</v>
      </c>
      <c r="T56" s="288" t="str">
        <f>+IF(F57="NO APLICA","NO APLICA",IF(E56&gt;0.5,E56*0.2,"NO APLICA"))</f>
        <v>NO APLICA</v>
      </c>
      <c r="U56" s="30"/>
      <c r="V56" s="30"/>
      <c r="W56" s="283"/>
      <c r="X56" s="219"/>
      <c r="Y56" s="275"/>
      <c r="Z56" s="283"/>
      <c r="AA56" s="219"/>
      <c r="AB56" s="289"/>
      <c r="AC56" s="283"/>
      <c r="AD56" s="219"/>
      <c r="AE56" s="275"/>
      <c r="AF56" s="277" t="str">
        <f t="shared" ref="AF56" si="100">+IF(OR(ISNUMBER(W56),ISNUMBER(X56),ISNUMBER(Y56)),AVERAGE(W56:Y57),"NO APLICA")</f>
        <v>NO APLICA</v>
      </c>
      <c r="AG56" s="278" t="str">
        <f t="shared" ref="AG56" si="101">+IF(OR(ISNUMBER(Z56),ISNUMBER(AA56),ISNUMBER(AB56)),AVERAGE(Z56:AB57),"NO APLICA")</f>
        <v>NO APLICA</v>
      </c>
      <c r="AH56" s="278" t="str">
        <f t="shared" ref="AH56" si="102">+IF(OR(ISNUMBER(AC56),ISNUMBER(AD56),ISNUMBER(AE56)),AVERAGE(AC56:AE57),"NO APLICA")</f>
        <v>NO APLICA</v>
      </c>
      <c r="AI56" s="279" t="str">
        <f t="shared" ref="AI56" si="103">IF(F57="NO APLICA","NO APLICA",IF(E56&gt;0.5,IF(OR(ISTEXT(AF56),ISTEXT(AG56),ISTEXT(AH56)),"FALTAN DATOS",(AF56+2*AG56+AH56)/4),IF(E56&gt;0.2,IF(OR(ISTEXT(AF56),ISTEXT(AG56)),"FALTAN DATOS",(AF56+AG56)/2),IF(E56&gt;0,IF(ISTEXT(AG56),"FALTAN DATOS",AG56),"NO APLICA"))))</f>
        <v>NO APLICA</v>
      </c>
      <c r="AJ56" s="266" t="str">
        <f t="shared" ref="AJ56" si="104">+IF(OR(AI56="FALTAN DATOS",AI56="NO APLICA"),"NO APLICA",AI56*G56)</f>
        <v>NO APLICA</v>
      </c>
      <c r="AK56" s="49"/>
      <c r="AL56" s="55" t="s">
        <v>44</v>
      </c>
      <c r="AM56" s="66" t="str">
        <f>+IF(P38="NO APLICA","",MAX(E28:E63)-E38*0.8)</f>
        <v/>
      </c>
      <c r="AN56" s="66" t="str">
        <f>+IF(P38="NO APLICA","",D38)</f>
        <v/>
      </c>
      <c r="AO56" s="66" t="str">
        <f>+IF(P38="NO APLICA","",AH38)</f>
        <v/>
      </c>
      <c r="AP56" s="67">
        <f>+B38</f>
        <v>5</v>
      </c>
      <c r="AQ56" s="44"/>
      <c r="AR56" s="31"/>
      <c r="AS56" s="9"/>
      <c r="AT56" s="9"/>
      <c r="AU56" s="9"/>
      <c r="AV56" s="9"/>
      <c r="AW56" s="9"/>
      <c r="AX56" s="9"/>
      <c r="AY56" s="9"/>
      <c r="AZ56" s="9"/>
      <c r="BA56" s="9"/>
      <c r="BB56" s="9"/>
      <c r="BC56" s="9"/>
      <c r="BD56" s="9"/>
      <c r="BE56" s="9"/>
      <c r="BF56" s="9"/>
      <c r="BG56" s="9"/>
      <c r="BH56" s="9"/>
      <c r="BI56" s="9"/>
      <c r="BJ56" s="9"/>
      <c r="BK56" s="9"/>
    </row>
    <row r="57" spans="1:63" ht="15" customHeight="1" x14ac:dyDescent="0.25">
      <c r="A57" s="9"/>
      <c r="B57" s="268"/>
      <c r="C57" s="270"/>
      <c r="D57" s="272"/>
      <c r="E57" s="220"/>
      <c r="F57" s="159" t="str">
        <f>+IF(C58="NO APLICA","NO APLICA",IF(C56=C58,IF(E58=E56,E58*(D58-D56)/2,IF(E58&gt;E56,(E56*(D58-D56)/2)+(((E58-E56)/2)*(D58-D56)/4),IF(E58&lt;E56,(E56-((E56-E58)/2))*(D58-D56)/2+(((E56-E58)/2)*(D58-D56)/4)))),IF(E58=E56,E58*2*(D58-D56)/2,IF(E58&gt;E56,E56*2*(D58-D56)/2+(((E58-E56))*2*(D58-D56)/4),IF(E58&lt;E56,E58*2*(D58-D56)/2+(((E56-E58))*2*(D58-D56)/4))))))</f>
        <v>NO APLICA</v>
      </c>
      <c r="G57" s="225"/>
      <c r="H57" s="273"/>
      <c r="I57" s="273"/>
      <c r="J57" s="17" t="str">
        <f>+IF(D58="NO APLICA","",D58)</f>
        <v/>
      </c>
      <c r="K57" s="17" t="str">
        <f>+H58</f>
        <v/>
      </c>
      <c r="L57" s="17" t="str">
        <f>+I58</f>
        <v/>
      </c>
      <c r="M57" s="210"/>
      <c r="N57" s="287"/>
      <c r="O57" s="287"/>
      <c r="P57" s="287"/>
      <c r="Q57" s="26"/>
      <c r="R57" s="288"/>
      <c r="S57" s="288"/>
      <c r="T57" s="288"/>
      <c r="U57" s="30"/>
      <c r="V57" s="30"/>
      <c r="W57" s="286"/>
      <c r="X57" s="220"/>
      <c r="Y57" s="285"/>
      <c r="Z57" s="286"/>
      <c r="AA57" s="220"/>
      <c r="AB57" s="289"/>
      <c r="AC57" s="286"/>
      <c r="AD57" s="220"/>
      <c r="AE57" s="285"/>
      <c r="AF57" s="277"/>
      <c r="AG57" s="278"/>
      <c r="AH57" s="278"/>
      <c r="AI57" s="280"/>
      <c r="AJ57" s="266"/>
      <c r="AK57" s="49"/>
      <c r="AL57" s="55" t="s">
        <v>52</v>
      </c>
      <c r="AM57" s="68">
        <f>+IF(AM56="",IF(AM55="","",(AM53-AM58)*0.1+AM58),(AM53-AM58)*0.1+AM58)</f>
        <v>4.6000000000000006E-2</v>
      </c>
      <c r="AN57" s="68">
        <f>+IF(AN56="",IF(AN55="","",AN55),AN56)</f>
        <v>0.98</v>
      </c>
      <c r="AO57" s="68">
        <f>+IF(AO56="",IF(AO55="","",AO55*0.75),AO56*0.85)</f>
        <v>0.71524999999999994</v>
      </c>
      <c r="AP57" s="64">
        <f>+B38</f>
        <v>5</v>
      </c>
      <c r="AQ57" s="9"/>
      <c r="AR57" s="31"/>
      <c r="AS57" s="9"/>
      <c r="AT57" s="9"/>
      <c r="AU57" s="9"/>
      <c r="AV57" s="9"/>
      <c r="AW57" s="9"/>
      <c r="AX57" s="9"/>
      <c r="AY57" s="9"/>
      <c r="AZ57" s="9"/>
      <c r="BA57" s="9"/>
      <c r="BB57" s="9"/>
      <c r="BC57" s="9"/>
      <c r="BD57" s="9"/>
      <c r="BE57" s="9"/>
      <c r="BF57" s="9"/>
      <c r="BG57" s="9"/>
      <c r="BH57" s="9"/>
      <c r="BI57" s="9"/>
      <c r="BJ57" s="9"/>
      <c r="BK57" s="9"/>
    </row>
    <row r="58" spans="1:63" ht="15" customHeight="1" x14ac:dyDescent="0.25">
      <c r="A58" s="9"/>
      <c r="B58" s="267" t="str">
        <f>+IF(C58="NO APLICA","S/N",15)</f>
        <v>S/N</v>
      </c>
      <c r="C58" s="269" t="str">
        <f>+IF(C23&gt;10,C24,"NO APLICA")</f>
        <v>NO APLICA</v>
      </c>
      <c r="D58" s="271" t="str">
        <f>IF(C58="NO APLICA","NO APLICA",ROUND(C30+C32+C34+C36+C38+C40+C42+C44+C46+C48+C50+C52+C54+C56+C58,2))</f>
        <v>NO APLICA</v>
      </c>
      <c r="E58" s="219"/>
      <c r="F58" s="5" t="str">
        <f>+IF(C58="NO APLICA","NO APLICA",IF(E58=E56,E58*(D58-D56)/2,IF(E58&gt;E56,(E58-((E58-E56)/2))*(D58-D56)/2+(((E58-E56)/2)*(D58-D56)/4),IF(E58&lt;E56,(E58*(D58-D56)/2)+(((E56-E58)/2)*(D58-D56)/4)))))</f>
        <v>NO APLICA</v>
      </c>
      <c r="G58" s="225" t="str">
        <f t="shared" ref="G58" si="105">+IF(F59="NO APLICA","NO APLICA",F58+F59)</f>
        <v>NO APLICA</v>
      </c>
      <c r="H58" s="273" t="str">
        <f t="shared" ref="H58" si="106">+IF(C58="NO APLICA","",MAX(E$28:E$63))</f>
        <v/>
      </c>
      <c r="I58" s="273" t="str">
        <f t="shared" ref="I58" si="107">+IF(C58="NO APLICA","",H58-E58)</f>
        <v/>
      </c>
      <c r="J58" s="23" t="str">
        <f>+IF(D60="NO APLICA","",(D58+D60)/2)</f>
        <v/>
      </c>
      <c r="K58" s="23" t="str">
        <f>+IF(K57=K56,K57,"")</f>
        <v/>
      </c>
      <c r="L58" s="23" t="str">
        <f>+IF(L59="","",(L57+L59)/2)</f>
        <v/>
      </c>
      <c r="M58" s="210"/>
      <c r="N58" s="287" t="str">
        <f>+IF(F59="NO APLICA","NO APLICA",IF(E58&gt;0.2,E58*0.2,"NO APLICA"))</f>
        <v>NO APLICA</v>
      </c>
      <c r="O58" s="287" t="str">
        <f>+IF(F59="NO APLICA","NO APLICA",IF(E58&gt;0,E58*0.6,"NO APLICA"))</f>
        <v>NO APLICA</v>
      </c>
      <c r="P58" s="287" t="str">
        <f>+IF(F59="NO APLICA","NO APLICA",IF(E58&gt;0.5,E58*0.8,"NO APLICA"))</f>
        <v>NO APLICA</v>
      </c>
      <c r="Q58" s="26"/>
      <c r="R58" s="288" t="str">
        <f>+IF(F59="NO APLICA","NO APLICA",IF(E58&gt;0.2,E58*0.8,"NO APLICA"))</f>
        <v>NO APLICA</v>
      </c>
      <c r="S58" s="288" t="str">
        <f>+IF(F59="NO APLICA","NO APLICA",IF(E58&gt;0,E58*0.4,"NO APLICA"))</f>
        <v>NO APLICA</v>
      </c>
      <c r="T58" s="288" t="str">
        <f>+IF(F59="NO APLICA","NO APLICA",IF(E58&gt;0.5,E58*0.2,"NO APLICA"))</f>
        <v>NO APLICA</v>
      </c>
      <c r="U58" s="30"/>
      <c r="V58" s="30"/>
      <c r="W58" s="283"/>
      <c r="X58" s="219"/>
      <c r="Y58" s="275"/>
      <c r="Z58" s="283"/>
      <c r="AA58" s="219"/>
      <c r="AB58" s="275"/>
      <c r="AC58" s="283"/>
      <c r="AD58" s="219"/>
      <c r="AE58" s="275"/>
      <c r="AF58" s="277" t="str">
        <f t="shared" ref="AF58" si="108">+IF(OR(ISNUMBER(W58),ISNUMBER(X58),ISNUMBER(Y58)),AVERAGE(W58:Y59),"NO APLICA")</f>
        <v>NO APLICA</v>
      </c>
      <c r="AG58" s="278" t="str">
        <f t="shared" ref="AG58" si="109">+IF(OR(ISNUMBER(Z58),ISNUMBER(AA58),ISNUMBER(AB58)),AVERAGE(Z58:AB59),"NO APLICA")</f>
        <v>NO APLICA</v>
      </c>
      <c r="AH58" s="278" t="str">
        <f t="shared" ref="AH58" si="110">+IF(OR(ISNUMBER(AC58),ISNUMBER(AD58),ISNUMBER(AE58)),AVERAGE(AC58:AE59),"NO APLICA")</f>
        <v>NO APLICA</v>
      </c>
      <c r="AI58" s="279" t="str">
        <f t="shared" ref="AI58" si="111">IF(F59="NO APLICA","NO APLICA",IF(E58&gt;0.5,IF(OR(ISTEXT(AF58),ISTEXT(AG58),ISTEXT(AH58)),"FALTAN DATOS",(AF58+2*AG58+AH58)/4),IF(E58&gt;0.2,IF(OR(ISTEXT(AF58),ISTEXT(AG58)),"FALTAN DATOS",(AF58+AG58)/2),IF(E58&gt;0,IF(ISTEXT(AG58),"FALTAN DATOS",AG58),"NO APLICA"))))</f>
        <v>NO APLICA</v>
      </c>
      <c r="AJ58" s="266" t="str">
        <f t="shared" ref="AJ58" si="112">+IF(OR(AI58="FALTAN DATOS",AI58="NO APLICA"),"NO APLICA",AI58*G58)</f>
        <v>NO APLICA</v>
      </c>
      <c r="AK58" s="49"/>
      <c r="AL58" s="56" t="s">
        <v>45</v>
      </c>
      <c r="AM58" s="70">
        <f>+IF(C38="NO APLICA","",IF(C36=C38*2,MAX(E28:E63)-E38,IF(O38="NO APLICA","",MAX(E28:E63)-E38)))</f>
        <v>0</v>
      </c>
      <c r="AN58" s="70">
        <f>+IF(C38="NO APLICA","",IF(C36=C38*2,D38,IF(O38="NO APLICA","",D38)))</f>
        <v>0.98</v>
      </c>
      <c r="AO58" s="70">
        <f>+IF(C38="NO APLICA","",IF(C36=C38*2,0,IF(O38="NO APLICA","",0)))</f>
        <v>0</v>
      </c>
      <c r="AP58" s="71">
        <f>+B38</f>
        <v>5</v>
      </c>
      <c r="AQ58" s="44"/>
      <c r="AR58" s="31"/>
      <c r="AS58" s="9"/>
      <c r="AT58" s="9"/>
      <c r="AU58" s="9"/>
      <c r="AV58" s="9"/>
      <c r="AW58" s="9"/>
      <c r="AX58" s="9"/>
      <c r="AY58" s="9"/>
      <c r="AZ58" s="9"/>
      <c r="BA58" s="9"/>
      <c r="BB58" s="9"/>
      <c r="BC58" s="9"/>
      <c r="BD58" s="9"/>
      <c r="BE58" s="9"/>
      <c r="BF58" s="9"/>
      <c r="BG58" s="9"/>
      <c r="BH58" s="9"/>
      <c r="BI58" s="9"/>
      <c r="BJ58" s="9"/>
      <c r="BK58" s="9"/>
    </row>
    <row r="59" spans="1:63" ht="15" customHeight="1" x14ac:dyDescent="0.25">
      <c r="A59" s="9"/>
      <c r="B59" s="268"/>
      <c r="C59" s="270"/>
      <c r="D59" s="272"/>
      <c r="E59" s="220"/>
      <c r="F59" s="159" t="str">
        <f>+IF(C60="NO APLICA","NO APLICA",IF(C58=C60,IF(E60=E58,E60*(D60-D58)/2,IF(E60&gt;E58,(E58*(D60-D58)/2)+(((E60-E58)/2)*(D60-D58)/4),IF(E60&lt;E58,(E58-((E58-E60)/2))*(D60-D58)/2+(((E58-E60)/2)*(D60-D58)/4)))),IF(E60=E58,E60*2*(D60-D58)/2,IF(E60&gt;E58,E58*2*(D60-D58)/2+(((E60-E58))*2*(D60-D58)/4),IF(E60&lt;E58,E60*2*(D60-D58)/2+(((E58-E60))*2*(D60-D58)/4))))))</f>
        <v>NO APLICA</v>
      </c>
      <c r="G59" s="225"/>
      <c r="H59" s="273"/>
      <c r="I59" s="273"/>
      <c r="J59" s="17" t="str">
        <f>+IF(D60="NO APLICA","",D60)</f>
        <v/>
      </c>
      <c r="K59" s="17" t="str">
        <f>+H60</f>
        <v/>
      </c>
      <c r="L59" s="17" t="str">
        <f>+I60</f>
        <v/>
      </c>
      <c r="M59" s="210"/>
      <c r="N59" s="287"/>
      <c r="O59" s="287"/>
      <c r="P59" s="287"/>
      <c r="Q59" s="26"/>
      <c r="R59" s="288"/>
      <c r="S59" s="288"/>
      <c r="T59" s="288"/>
      <c r="U59" s="30"/>
      <c r="V59" s="30"/>
      <c r="W59" s="286"/>
      <c r="X59" s="220"/>
      <c r="Y59" s="285"/>
      <c r="Z59" s="286"/>
      <c r="AA59" s="220"/>
      <c r="AB59" s="285"/>
      <c r="AC59" s="286"/>
      <c r="AD59" s="220"/>
      <c r="AE59" s="285"/>
      <c r="AF59" s="277"/>
      <c r="AG59" s="278"/>
      <c r="AH59" s="278"/>
      <c r="AI59" s="280"/>
      <c r="AJ59" s="266"/>
      <c r="AK59" s="49"/>
      <c r="AL59" s="54" t="s">
        <v>41</v>
      </c>
      <c r="AM59" s="62">
        <f>+IF(O40="NO APLICA","",MAX(E28:E63))</f>
        <v>0.46</v>
      </c>
      <c r="AN59" s="62">
        <f>+IF(AN60="",IF(AN61="","",AN61),AN60)</f>
        <v>1.2</v>
      </c>
      <c r="AO59" s="62">
        <f>+IF(AO60="",IF(AO61="","",AO61*1.25),AO60*1.15)</f>
        <v>1.0054833333333333</v>
      </c>
      <c r="AP59" s="63">
        <f>+B40</f>
        <v>6</v>
      </c>
      <c r="AQ59" s="44"/>
      <c r="AR59" s="31"/>
      <c r="AS59" s="9"/>
      <c r="AT59" s="9"/>
      <c r="AU59" s="9"/>
      <c r="AV59" s="9"/>
      <c r="AW59" s="9"/>
      <c r="AX59" s="9"/>
      <c r="AY59" s="9"/>
      <c r="AZ59" s="9"/>
      <c r="BA59" s="9"/>
      <c r="BB59" s="9"/>
      <c r="BC59" s="9"/>
      <c r="BD59" s="9"/>
      <c r="BE59" s="9"/>
      <c r="BF59" s="9"/>
      <c r="BG59" s="9"/>
      <c r="BH59" s="9"/>
      <c r="BI59" s="9"/>
      <c r="BJ59" s="9"/>
      <c r="BK59" s="9"/>
    </row>
    <row r="60" spans="1:63" ht="15" customHeight="1" x14ac:dyDescent="0.25">
      <c r="A60" s="9"/>
      <c r="B60" s="267" t="str">
        <f>+IF(C60="NO APLICA","S/N",16)</f>
        <v>S/N</v>
      </c>
      <c r="C60" s="269" t="str">
        <f>+IF(C23&gt;10,C24,"NO APLICA")</f>
        <v>NO APLICA</v>
      </c>
      <c r="D60" s="271" t="str">
        <f>IF(C60="NO APLICA","NO APLICA",ROUND(C30+C32+C34+C36+C38+C40+C42+C44+C46+C48+C50+C52+C54+C56+C58+C60,2))</f>
        <v>NO APLICA</v>
      </c>
      <c r="E60" s="219"/>
      <c r="F60" s="5" t="str">
        <f>+IF(C60="NO APLICA","NO APLICA",IF(E60=E58,E60*(D60-D58)/2,IF(E60&gt;E58,(E60-((E60-E58)/2))*(D60-D58)/2+(((E60-E58)/2)*(D60-D58)/4),IF(E60&lt;E58,(E60*(D60-D58)/2)+(((E58-E60)/2)*(D60-D58)/4)))))</f>
        <v>NO APLICA</v>
      </c>
      <c r="G60" s="225" t="str">
        <f t="shared" ref="G60" si="113">+IF(F61="NO APLICA","NO APLICA",F60+F61)</f>
        <v>NO APLICA</v>
      </c>
      <c r="H60" s="273" t="str">
        <f t="shared" ref="H60" si="114">+IF(C60="NO APLICA","",MAX(E$28:E$63))</f>
        <v/>
      </c>
      <c r="I60" s="273" t="str">
        <f t="shared" ref="I60" si="115">+IF(C60="NO APLICA","",H60-E60)</f>
        <v/>
      </c>
      <c r="J60" s="23" t="str">
        <f>+IF(D62="NO APLICA","",IF((D62-D60)=(D60-D58),(D60+D62)/2,D62))</f>
        <v/>
      </c>
      <c r="K60" s="23" t="str">
        <f>+IF(K59=K58,K59,"")</f>
        <v/>
      </c>
      <c r="L60" s="23" t="str">
        <f>+IF(C23=16,I62,IF(L61="","",(L59+L61)/2))</f>
        <v/>
      </c>
      <c r="M60" s="210"/>
      <c r="N60" s="287" t="str">
        <f>+IF(F61="NO APLICA","NO APLICA",IF(E60&gt;0.2,E60*0.2,"NO APLICA"))</f>
        <v>NO APLICA</v>
      </c>
      <c r="O60" s="287" t="str">
        <f>+IF(F61="NO APLICA","NO APLICA",IF(E60&gt;0,E60*0.6,"NO APLICA"))</f>
        <v>NO APLICA</v>
      </c>
      <c r="P60" s="287" t="str">
        <f>+IF(F61="NO APLICA","NO APLICA",IF(E60&gt;0.5,E60*0.8,"NO APLICA"))</f>
        <v>NO APLICA</v>
      </c>
      <c r="Q60" s="26"/>
      <c r="R60" s="288" t="str">
        <f>+IF(F61="NO APLICA","NO APLICA",IF(E60&gt;0.2,E60*0.8,"NO APLICA"))</f>
        <v>NO APLICA</v>
      </c>
      <c r="S60" s="288" t="str">
        <f>+IF(F61="NO APLICA","NO APLICA",IF(E60&gt;0,E60*0.4,"NO APLICA"))</f>
        <v>NO APLICA</v>
      </c>
      <c r="T60" s="288" t="str">
        <f>+IF(F61="NO APLICA","NO APLICA",IF(E60&gt;0.5,E60*0.2,"NO APLICA"))</f>
        <v>NO APLICA</v>
      </c>
      <c r="U60" s="30"/>
      <c r="V60" s="30"/>
      <c r="W60" s="283"/>
      <c r="X60" s="219"/>
      <c r="Y60" s="275"/>
      <c r="Z60" s="283"/>
      <c r="AA60" s="219"/>
      <c r="AB60" s="275"/>
      <c r="AC60" s="283"/>
      <c r="AD60" s="219"/>
      <c r="AE60" s="275"/>
      <c r="AF60" s="277" t="str">
        <f t="shared" ref="AF60" si="116">+IF(OR(ISNUMBER(W60),ISNUMBER(X60),ISNUMBER(Y60)),AVERAGE(W60:Y61),"NO APLICA")</f>
        <v>NO APLICA</v>
      </c>
      <c r="AG60" s="278" t="str">
        <f t="shared" ref="AG60" si="117">+IF(OR(ISNUMBER(Z60),ISNUMBER(AA60),ISNUMBER(AB60)),AVERAGE(Z60:AB61),"NO APLICA")</f>
        <v>NO APLICA</v>
      </c>
      <c r="AH60" s="278" t="str">
        <f t="shared" ref="AH60" si="118">+IF(OR(ISNUMBER(AC60),ISNUMBER(AD60),ISNUMBER(AE60)),AVERAGE(AC60:AE61),"NO APLICA")</f>
        <v>NO APLICA</v>
      </c>
      <c r="AI60" s="279" t="str">
        <f t="shared" ref="AI60" si="119">IF(F61="NO APLICA","NO APLICA",IF(E60&gt;0.5,IF(OR(ISTEXT(AF60),ISTEXT(AG60),ISTEXT(AH60)),"FALTAN DATOS",(AF60+2*AG60+AH60)/4),IF(E60&gt;0.2,IF(OR(ISTEXT(AF60),ISTEXT(AG60)),"FALTAN DATOS",(AF60+AG60)/2),IF(E60&gt;0,IF(ISTEXT(AG60),"FALTAN DATOS",AG60),"NO APLICA"))))</f>
        <v>NO APLICA</v>
      </c>
      <c r="AJ60" s="266" t="str">
        <f t="shared" ref="AJ60" si="120">+IF(OR(AI60="FALTAN DATOS",AI60="NO APLICA"),"NO APLICA",AI60*G60)</f>
        <v>NO APLICA</v>
      </c>
      <c r="AK60" s="49"/>
      <c r="AL60" s="55" t="s">
        <v>42</v>
      </c>
      <c r="AM60" s="66">
        <f>+IF(N40="NO APLICA","",MAX(E28:E63)-E40*0.2)</f>
        <v>0.36799999999999999</v>
      </c>
      <c r="AN60" s="66">
        <f>+IF(N40="NO APLICA","",D40)</f>
        <v>1.2</v>
      </c>
      <c r="AO60" s="66">
        <f>+IF(N40="NO APLICA","",AF40)</f>
        <v>0.8743333333333333</v>
      </c>
      <c r="AP60" s="67">
        <f>+B40</f>
        <v>6</v>
      </c>
      <c r="AQ60" s="44"/>
      <c r="AR60" s="31"/>
      <c r="AS60" s="9"/>
      <c r="AT60" s="9"/>
      <c r="AU60" s="9"/>
      <c r="AV60" s="9"/>
      <c r="AW60" s="9"/>
      <c r="AX60" s="9"/>
      <c r="AY60" s="9"/>
      <c r="AZ60" s="9"/>
      <c r="BA60" s="9"/>
      <c r="BB60" s="9"/>
      <c r="BC60" s="9"/>
      <c r="BD60" s="9"/>
      <c r="BE60" s="9"/>
      <c r="BF60" s="9"/>
      <c r="BG60" s="9"/>
      <c r="BH60" s="9"/>
      <c r="BI60" s="9"/>
      <c r="BJ60" s="9"/>
      <c r="BK60" s="9"/>
    </row>
    <row r="61" spans="1:63" ht="15.75" customHeight="1" thickBot="1" x14ac:dyDescent="0.3">
      <c r="A61" s="9"/>
      <c r="B61" s="268"/>
      <c r="C61" s="270"/>
      <c r="D61" s="272"/>
      <c r="E61" s="220"/>
      <c r="F61" s="159" t="str">
        <f>+IF(C62="NO APLICA","NO APLICA",IF(C60=C62,IF(E62=E60,E62*(D62-D60)/2,IF(E62&gt;E60,(E60*(D62-D60)/2)+(((E62-E60)/2)*(D62-D60)/4),IF(E62&lt;E60,(E60-((E60-E62)/2))*(D62-D60)/2+(((E60-E62)/2)*(D62-D60)/4)))),IF(E62=E60,E62*2*(D62-D60)/2,IF(E62&gt;E60,E60*2*(D62-D60)/2+(((E62-E60))*2*(D62-D60)/4),IF(E62&lt;E60,E62*2*(D62-D60)/2+(((E60-E62))*2*(D62-D60)/4))))))</f>
        <v>NO APLICA</v>
      </c>
      <c r="G61" s="225"/>
      <c r="H61" s="273"/>
      <c r="I61" s="273"/>
      <c r="J61" s="17"/>
      <c r="K61" s="213"/>
      <c r="L61" s="213"/>
      <c r="M61" s="210"/>
      <c r="N61" s="287"/>
      <c r="O61" s="287"/>
      <c r="P61" s="287"/>
      <c r="Q61" s="26"/>
      <c r="R61" s="288"/>
      <c r="S61" s="288"/>
      <c r="T61" s="288"/>
      <c r="U61" s="30"/>
      <c r="V61" s="30"/>
      <c r="W61" s="284"/>
      <c r="X61" s="274"/>
      <c r="Y61" s="276"/>
      <c r="Z61" s="284"/>
      <c r="AA61" s="274"/>
      <c r="AB61" s="276"/>
      <c r="AC61" s="284"/>
      <c r="AD61" s="274"/>
      <c r="AE61" s="276"/>
      <c r="AF61" s="277"/>
      <c r="AG61" s="278"/>
      <c r="AH61" s="278"/>
      <c r="AI61" s="280"/>
      <c r="AJ61" s="266"/>
      <c r="AK61" s="49"/>
      <c r="AL61" s="55" t="s">
        <v>43</v>
      </c>
      <c r="AM61" s="66">
        <f>+IF(O40="NO APLICA","",MAX(E28:E63)-E40*0.6)</f>
        <v>0.184</v>
      </c>
      <c r="AN61" s="66">
        <f>+IF(O40="NO APLICA","",D40)</f>
        <v>1.2</v>
      </c>
      <c r="AO61" s="66">
        <f>+IF(O40="NO APLICA","",AG40)</f>
        <v>0.90233333333333332</v>
      </c>
      <c r="AP61" s="67">
        <f>+B40</f>
        <v>6</v>
      </c>
      <c r="AQ61" s="44"/>
      <c r="AR61" s="31"/>
      <c r="AS61" s="9"/>
      <c r="AT61" s="9"/>
      <c r="AU61" s="9"/>
      <c r="AV61" s="9"/>
      <c r="AW61" s="9"/>
      <c r="AX61" s="9"/>
      <c r="AY61" s="9"/>
      <c r="AZ61" s="9"/>
      <c r="BA61" s="9"/>
      <c r="BB61" s="9"/>
      <c r="BC61" s="9"/>
      <c r="BD61" s="9"/>
      <c r="BE61" s="9"/>
      <c r="BF61" s="9"/>
      <c r="BG61" s="9"/>
      <c r="BH61" s="9"/>
      <c r="BI61" s="9"/>
      <c r="BJ61" s="9"/>
      <c r="BK61" s="9"/>
    </row>
    <row r="62" spans="1:63" ht="15" customHeight="1" x14ac:dyDescent="0.25">
      <c r="A62" s="9"/>
      <c r="B62" s="267" t="str">
        <f>+IF(C62="NO APLICA","S/N",IF(C60&gt;C62,"Final",17))</f>
        <v>S/N</v>
      </c>
      <c r="C62" s="269" t="str">
        <f>+IF(C23=16,C24/2,IF(C23&gt;16,C24,"NO APLICA"))</f>
        <v>NO APLICA</v>
      </c>
      <c r="D62" s="271" t="str">
        <f>IF(C62="NO APLICA","NO APLICA",ROUND(C30+C32+C34+C36+C38+C40+C42+C44+C46+C48+C50+C52+C54+C56+C58+C60+C62,2))</f>
        <v>NO APLICA</v>
      </c>
      <c r="E62" s="219"/>
      <c r="F62" s="223" t="s">
        <v>122</v>
      </c>
      <c r="G62" s="221">
        <f>+IF(SUM(G30:G61)&gt;0,SUM(G30:G61),"NO APLICA")</f>
        <v>0.60205000000000009</v>
      </c>
      <c r="H62" s="273" t="str">
        <f t="shared" ref="H62" si="121">+IF(C62="NO APLICA","",MAX(E$28:E$63))</f>
        <v/>
      </c>
      <c r="I62" s="273" t="str">
        <f t="shared" ref="I62" si="122">+IF(C62="NO APLICA","",H62-E62)</f>
        <v/>
      </c>
      <c r="K62" s="213"/>
      <c r="L62" s="213"/>
      <c r="M62" s="210"/>
      <c r="N62" s="263"/>
      <c r="O62" s="263"/>
      <c r="P62" s="263"/>
      <c r="Q62" s="27"/>
      <c r="R62" s="263"/>
      <c r="S62" s="263"/>
      <c r="T62" s="263"/>
      <c r="U62" s="27"/>
      <c r="V62" s="27"/>
      <c r="W62" s="265"/>
      <c r="X62" s="265"/>
      <c r="Y62" s="265"/>
      <c r="Z62" s="265"/>
      <c r="AA62" s="265"/>
      <c r="AB62" s="265"/>
      <c r="AC62" s="265"/>
      <c r="AD62" s="265"/>
      <c r="AE62" s="265"/>
      <c r="AF62" s="282"/>
      <c r="AG62" s="282"/>
      <c r="AH62" s="282"/>
      <c r="AI62" s="263"/>
      <c r="AJ62" s="263"/>
      <c r="AK62" s="31"/>
      <c r="AL62" s="55" t="s">
        <v>44</v>
      </c>
      <c r="AM62" s="66" t="str">
        <f>+IF(P40="NO APLICA","",MAX(E28:E63)-E40*0.8)</f>
        <v/>
      </c>
      <c r="AN62" s="66" t="str">
        <f>+IF(P40="NO APLICA","",D40)</f>
        <v/>
      </c>
      <c r="AO62" s="66" t="str">
        <f>+IF(P40="NO APLICA","",AH40)</f>
        <v/>
      </c>
      <c r="AP62" s="67">
        <f>+B40</f>
        <v>6</v>
      </c>
      <c r="AQ62" s="44"/>
      <c r="AR62" s="31"/>
      <c r="AS62" s="9"/>
      <c r="AT62" s="9"/>
      <c r="AU62" s="9"/>
      <c r="AV62" s="9"/>
      <c r="AW62" s="9"/>
      <c r="AX62" s="9"/>
      <c r="AY62" s="9"/>
      <c r="AZ62" s="9"/>
      <c r="BA62" s="9"/>
      <c r="BB62" s="9"/>
      <c r="BC62" s="9"/>
      <c r="BD62" s="9"/>
      <c r="BE62" s="9"/>
      <c r="BF62" s="9"/>
      <c r="BG62" s="9"/>
      <c r="BH62" s="9"/>
      <c r="BI62" s="9"/>
      <c r="BJ62" s="9"/>
      <c r="BK62" s="9"/>
    </row>
    <row r="63" spans="1:63" ht="15" customHeight="1" x14ac:dyDescent="0.25">
      <c r="A63" s="9"/>
      <c r="B63" s="268"/>
      <c r="C63" s="270"/>
      <c r="D63" s="272"/>
      <c r="E63" s="220"/>
      <c r="F63" s="224"/>
      <c r="G63" s="222"/>
      <c r="H63" s="273"/>
      <c r="I63" s="273"/>
      <c r="J63" s="213"/>
      <c r="K63" s="213"/>
      <c r="L63" s="213"/>
      <c r="M63" s="210"/>
      <c r="N63" s="264"/>
      <c r="O63" s="264"/>
      <c r="P63" s="264"/>
      <c r="Q63" s="27"/>
      <c r="R63" s="264"/>
      <c r="S63" s="264"/>
      <c r="T63" s="264"/>
      <c r="U63" s="27"/>
      <c r="V63" s="27"/>
      <c r="W63" s="265"/>
      <c r="X63" s="265"/>
      <c r="Y63" s="265"/>
      <c r="Z63" s="265"/>
      <c r="AA63" s="265"/>
      <c r="AB63" s="265"/>
      <c r="AC63" s="265"/>
      <c r="AD63" s="265"/>
      <c r="AE63" s="265"/>
      <c r="AF63" s="265"/>
      <c r="AG63" s="265"/>
      <c r="AH63" s="265"/>
      <c r="AI63" s="264"/>
      <c r="AJ63" s="264"/>
      <c r="AK63" s="31"/>
      <c r="AL63" s="55" t="s">
        <v>52</v>
      </c>
      <c r="AM63" s="68">
        <f>+IF(AM62="",IF(AM61="","",(AM59-AM64)*0.1+AM64),(AM59-AM64)*0.1+AM64)</f>
        <v>4.6000000000000006E-2</v>
      </c>
      <c r="AN63" s="68">
        <f>+IF(AN62="",IF(AN61="","",AN61),AN62)</f>
        <v>1.2</v>
      </c>
      <c r="AO63" s="68">
        <f>+IF(AO62="",IF(AO61="","",AO61*0.75),AO62*0.85)</f>
        <v>0.67674999999999996</v>
      </c>
      <c r="AP63" s="64">
        <f>+B40</f>
        <v>6</v>
      </c>
      <c r="AQ63" s="9"/>
      <c r="AR63" s="31"/>
      <c r="AS63" s="9"/>
      <c r="AT63" s="9"/>
      <c r="AU63" s="9"/>
      <c r="AV63" s="9"/>
      <c r="AW63" s="9"/>
      <c r="AX63" s="9"/>
      <c r="AY63" s="9"/>
      <c r="AZ63" s="9"/>
      <c r="BA63" s="9"/>
      <c r="BB63" s="9"/>
      <c r="BC63" s="9"/>
      <c r="BD63" s="9"/>
      <c r="BE63" s="9"/>
      <c r="BF63" s="9"/>
      <c r="BG63" s="9"/>
      <c r="BH63" s="9"/>
      <c r="BI63" s="9"/>
      <c r="BJ63" s="9"/>
      <c r="BK63" s="9"/>
    </row>
    <row r="64" spans="1:63" ht="26.25" customHeight="1" x14ac:dyDescent="0.25">
      <c r="A64" s="9"/>
      <c r="B64" s="9"/>
      <c r="C64" s="9"/>
      <c r="D64" s="9"/>
      <c r="E64" s="9"/>
      <c r="F64" s="223" t="s">
        <v>113</v>
      </c>
      <c r="G64" s="221">
        <f>+IF(ISNUMBER(N22),N22/G62,"Faltan Datos")</f>
        <v>0.92930787863687947</v>
      </c>
      <c r="H64" s="210"/>
      <c r="I64" s="214"/>
      <c r="J64" s="214"/>
      <c r="K64" s="214"/>
      <c r="L64" s="214"/>
      <c r="M64" s="210"/>
      <c r="N64" s="27"/>
      <c r="O64" s="27"/>
      <c r="P64" s="27"/>
      <c r="Q64" s="27"/>
      <c r="R64" s="27"/>
      <c r="S64" s="27"/>
      <c r="T64" s="27"/>
      <c r="U64" s="27"/>
      <c r="V64" s="27"/>
      <c r="W64" s="27"/>
      <c r="X64" s="27"/>
      <c r="Y64" s="27"/>
      <c r="Z64" s="27"/>
      <c r="AA64" s="27"/>
      <c r="AB64" s="27"/>
      <c r="AC64" s="27"/>
      <c r="AD64" s="27"/>
      <c r="AE64" s="27"/>
      <c r="AF64" s="27"/>
      <c r="AG64" s="27"/>
      <c r="AH64" s="27"/>
      <c r="AI64" s="27"/>
      <c r="AJ64" s="27"/>
      <c r="AK64" s="31"/>
      <c r="AL64" s="56" t="s">
        <v>45</v>
      </c>
      <c r="AM64" s="70">
        <f>+IF(C40="NO APLICA","",IF(C38=C40*2,MAX(E28:E63)-E40,IF(O40="NO APLICA","",MAX(E28:E63)-E40)))</f>
        <v>0</v>
      </c>
      <c r="AN64" s="70">
        <f>+IF(C40="NO APLICA","",IF(C38=C40*2,D40,IF(O40="NO APLICA","",D40)))</f>
        <v>1.2</v>
      </c>
      <c r="AO64" s="70">
        <f>+IF(C40="NO APLICA","",IF(C38=C40*2,0,IF(O40="NO APLICA","",0)))</f>
        <v>0</v>
      </c>
      <c r="AP64" s="71">
        <f>+B40</f>
        <v>6</v>
      </c>
      <c r="AQ64" s="44"/>
      <c r="AR64" s="31"/>
      <c r="AS64" s="9"/>
      <c r="AT64" s="9"/>
      <c r="AU64" s="9"/>
      <c r="AV64" s="9"/>
      <c r="AW64" s="9"/>
      <c r="AX64" s="9"/>
      <c r="AY64" s="9"/>
      <c r="AZ64" s="9"/>
      <c r="BA64" s="9"/>
      <c r="BB64" s="9"/>
      <c r="BC64" s="9"/>
      <c r="BD64" s="9"/>
      <c r="BE64" s="9"/>
      <c r="BF64" s="9"/>
      <c r="BG64" s="9"/>
      <c r="BH64" s="9"/>
      <c r="BI64" s="9"/>
      <c r="BJ64" s="9"/>
      <c r="BK64" s="9"/>
    </row>
    <row r="65" spans="1:63" ht="19.5" customHeight="1" x14ac:dyDescent="0.25">
      <c r="A65" s="9"/>
      <c r="B65" s="9"/>
      <c r="C65" s="9"/>
      <c r="D65" s="9"/>
      <c r="E65" s="9"/>
      <c r="F65" s="224"/>
      <c r="G65" s="222"/>
      <c r="H65" s="210"/>
      <c r="I65" s="214"/>
      <c r="J65" s="214"/>
      <c r="K65" s="214"/>
      <c r="L65" s="214"/>
      <c r="M65" s="210"/>
      <c r="N65" s="27"/>
      <c r="O65" s="27"/>
      <c r="P65" s="27"/>
      <c r="Q65" s="27"/>
      <c r="R65" s="27"/>
      <c r="S65" s="27"/>
      <c r="T65" s="27"/>
      <c r="U65" s="27"/>
      <c r="V65" s="27"/>
      <c r="W65" s="27"/>
      <c r="X65" s="27"/>
      <c r="Y65" s="27"/>
      <c r="Z65" s="27"/>
      <c r="AA65" s="27"/>
      <c r="AB65" s="27"/>
      <c r="AC65" s="27"/>
      <c r="AD65" s="27"/>
      <c r="AE65" s="27"/>
      <c r="AF65" s="27"/>
      <c r="AG65" s="27"/>
      <c r="AH65" s="27"/>
      <c r="AI65" s="27"/>
      <c r="AJ65" s="27"/>
      <c r="AK65" s="31"/>
      <c r="AL65" s="54" t="s">
        <v>41</v>
      </c>
      <c r="AM65" s="62" t="str">
        <f>+IF(O42="NO APLICA","",MAX(E28:E63))</f>
        <v/>
      </c>
      <c r="AN65" s="62" t="str">
        <f>+IF(AN66="",IF(AN67="","",AN67),AN66)</f>
        <v/>
      </c>
      <c r="AO65" s="62" t="str">
        <f>+IF(AO66="",IF(AO67="","",AO67*1.25),AO66*1.15)</f>
        <v/>
      </c>
      <c r="AP65" s="63" t="str">
        <f>+B42</f>
        <v>Final</v>
      </c>
      <c r="AQ65" s="44"/>
      <c r="AR65" s="9"/>
      <c r="AS65" s="9"/>
      <c r="AT65" s="9"/>
      <c r="AU65" s="9"/>
      <c r="AV65" s="9"/>
      <c r="AW65" s="9"/>
      <c r="AX65" s="9"/>
      <c r="AY65" s="9"/>
      <c r="AZ65" s="9"/>
      <c r="BA65" s="9"/>
      <c r="BB65" s="9"/>
      <c r="BC65" s="9"/>
      <c r="BD65" s="9"/>
      <c r="BE65" s="9"/>
      <c r="BF65" s="9"/>
      <c r="BG65" s="9"/>
      <c r="BH65" s="9"/>
      <c r="BI65" s="9"/>
      <c r="BJ65" s="9"/>
      <c r="BK65" s="9"/>
    </row>
    <row r="66" spans="1:63" x14ac:dyDescent="0.25">
      <c r="A66" s="9"/>
      <c r="B66" s="9"/>
      <c r="C66" s="9"/>
      <c r="D66" s="9"/>
      <c r="E66" s="9"/>
      <c r="F66" s="9"/>
      <c r="G66" s="9"/>
      <c r="H66" s="210"/>
      <c r="I66" s="210"/>
      <c r="J66" s="210"/>
      <c r="K66" s="210"/>
      <c r="L66" s="210"/>
      <c r="M66" s="210"/>
      <c r="N66" s="9"/>
      <c r="O66" s="9"/>
      <c r="P66" s="9"/>
      <c r="Q66" s="9"/>
      <c r="R66" s="9"/>
      <c r="S66" s="9"/>
      <c r="T66" s="9"/>
      <c r="U66" s="9"/>
      <c r="V66" s="9"/>
      <c r="W66" s="9"/>
      <c r="X66" s="9"/>
      <c r="Y66" s="9"/>
      <c r="Z66" s="9"/>
      <c r="AA66" s="9"/>
      <c r="AB66" s="9"/>
      <c r="AC66" s="9"/>
      <c r="AD66" s="9"/>
      <c r="AE66" s="9"/>
      <c r="AF66" s="9"/>
      <c r="AG66" s="9"/>
      <c r="AH66" s="9"/>
      <c r="AI66" s="9"/>
      <c r="AJ66" s="9"/>
      <c r="AK66" s="31"/>
      <c r="AL66" s="55" t="s">
        <v>42</v>
      </c>
      <c r="AM66" s="66" t="str">
        <f>+IF(N42="NO APLICA","",MAX(E28:E63)-E42*0.2)</f>
        <v/>
      </c>
      <c r="AN66" s="66" t="str">
        <f>+IF(N42="NO APLICA","",D42)</f>
        <v/>
      </c>
      <c r="AO66" s="66" t="str">
        <f>+IF(N42="NO APLICA","",AF42)</f>
        <v/>
      </c>
      <c r="AP66" s="67" t="str">
        <f>+B42</f>
        <v>Final</v>
      </c>
      <c r="AQ66" s="44"/>
      <c r="AR66" s="9"/>
      <c r="AS66" s="9"/>
      <c r="AT66" s="9"/>
      <c r="AU66" s="9"/>
      <c r="AV66" s="9"/>
      <c r="AW66" s="9"/>
      <c r="AX66" s="9"/>
      <c r="AY66" s="9"/>
      <c r="AZ66" s="9"/>
      <c r="BA66" s="9"/>
      <c r="BB66" s="9"/>
      <c r="BC66" s="9"/>
      <c r="BD66" s="9"/>
      <c r="BE66" s="9"/>
      <c r="BF66" s="9"/>
      <c r="BG66" s="9"/>
      <c r="BH66" s="9"/>
      <c r="BI66" s="9"/>
      <c r="BJ66" s="9"/>
      <c r="BK66" s="9"/>
    </row>
    <row r="67" spans="1:63" x14ac:dyDescent="0.25">
      <c r="A67" s="9"/>
      <c r="B67" s="9"/>
      <c r="C67" s="9"/>
      <c r="D67" s="9"/>
      <c r="E67" s="9"/>
      <c r="F67" s="9"/>
      <c r="G67" s="9"/>
      <c r="H67" s="210"/>
      <c r="I67" s="210"/>
      <c r="J67" s="210"/>
      <c r="K67" s="210"/>
      <c r="L67" s="210"/>
      <c r="M67" s="210"/>
      <c r="N67" s="9"/>
      <c r="O67" s="9"/>
      <c r="P67" s="9"/>
      <c r="Q67" s="9"/>
      <c r="R67" s="9"/>
      <c r="S67" s="9"/>
      <c r="T67" s="9"/>
      <c r="U67" s="9"/>
      <c r="V67" s="9"/>
      <c r="W67" s="9"/>
      <c r="X67" s="9"/>
      <c r="Y67" s="9"/>
      <c r="Z67" s="9"/>
      <c r="AA67" s="9"/>
      <c r="AB67" s="9"/>
      <c r="AC67" s="9"/>
      <c r="AD67" s="9"/>
      <c r="AE67" s="9"/>
      <c r="AF67" s="9"/>
      <c r="AG67" s="9"/>
      <c r="AH67" s="9"/>
      <c r="AI67" s="9"/>
      <c r="AJ67" s="9"/>
      <c r="AK67" s="31"/>
      <c r="AL67" s="55" t="s">
        <v>43</v>
      </c>
      <c r="AM67" s="66" t="str">
        <f>+IF(O42="NO APLICA","",MAX(E28:E63)-E42*0.6)</f>
        <v/>
      </c>
      <c r="AN67" s="66" t="str">
        <f>+IF(O42="NO APLICA","",D42)</f>
        <v/>
      </c>
      <c r="AO67" s="66" t="str">
        <f>+IF(O42="NO APLICA","",AG42)</f>
        <v/>
      </c>
      <c r="AP67" s="67" t="str">
        <f>+B42</f>
        <v>Final</v>
      </c>
      <c r="AQ67" s="44"/>
      <c r="AR67" s="9"/>
      <c r="AS67" s="9"/>
      <c r="AT67" s="9"/>
      <c r="AU67" s="9"/>
      <c r="AV67" s="9"/>
      <c r="AW67" s="9"/>
      <c r="AX67" s="9"/>
      <c r="AY67" s="9"/>
      <c r="AZ67" s="9"/>
      <c r="BA67" s="9"/>
      <c r="BB67" s="9"/>
      <c r="BC67" s="9"/>
      <c r="BD67" s="9"/>
      <c r="BE67" s="9"/>
      <c r="BF67" s="9"/>
      <c r="BG67" s="9"/>
      <c r="BH67" s="9"/>
      <c r="BI67" s="9"/>
      <c r="BJ67" s="9"/>
      <c r="BK67" s="9"/>
    </row>
    <row r="68" spans="1:63" x14ac:dyDescent="0.25">
      <c r="AL68" s="55" t="s">
        <v>44</v>
      </c>
      <c r="AM68" s="66" t="str">
        <f>+IF(P42="NO APLICA","",MAX(E28:E63)-E42*0.8)</f>
        <v/>
      </c>
      <c r="AN68" s="66" t="str">
        <f>+IF(P42="NO APLICA","",D42)</f>
        <v/>
      </c>
      <c r="AO68" s="66" t="str">
        <f>+IF(P42="NO APLICA","",AH42)</f>
        <v/>
      </c>
      <c r="AP68" s="67" t="str">
        <f>+B42</f>
        <v>Final</v>
      </c>
      <c r="AQ68" s="37"/>
    </row>
    <row r="69" spans="1:63" x14ac:dyDescent="0.25">
      <c r="AL69" s="55" t="s">
        <v>52</v>
      </c>
      <c r="AM69" s="68" t="str">
        <f>+IF(AM68="",IF(AM67="","",(AM65-AM70)*0.1+AM70),(AM65-AM70)*0.1+AM70)</f>
        <v/>
      </c>
      <c r="AN69" s="68" t="str">
        <f>+IF(AN68="",IF(AN67="","",AN67),AN68)</f>
        <v/>
      </c>
      <c r="AO69" s="68" t="str">
        <f>+IF(AO68="",IF(AO67="","",AO67*0.75),AO68*0.85)</f>
        <v/>
      </c>
      <c r="AP69" s="67" t="str">
        <f>+B42</f>
        <v>Final</v>
      </c>
      <c r="AQ69" s="37"/>
    </row>
    <row r="70" spans="1:63" x14ac:dyDescent="0.25">
      <c r="AL70" s="56" t="s">
        <v>45</v>
      </c>
      <c r="AM70" s="70">
        <f>+IF(C42="NO APLICA","",IF(C40=C42*2,MAX(E28:E63)-E42,IF(O42="NO APLICA","",MAX(E28:E63)-E42)))</f>
        <v>0</v>
      </c>
      <c r="AN70" s="70">
        <f>+IF(C42="NO APLICA","",IF(C40=C42*2,D42,IF(O42="NO APLICA","",D42)))</f>
        <v>1.31</v>
      </c>
      <c r="AO70" s="70">
        <f>+IF(C42="NO APLICA","",IF(C40=C42*2,0,IF(O42="NO APLICA","",0)))</f>
        <v>0</v>
      </c>
      <c r="AP70" s="71" t="str">
        <f>+B42</f>
        <v>Final</v>
      </c>
      <c r="AQ70" s="37"/>
    </row>
    <row r="71" spans="1:63" x14ac:dyDescent="0.25">
      <c r="AL71" s="54" t="s">
        <v>41</v>
      </c>
      <c r="AM71" s="62" t="str">
        <f>+IF(O44="NO APLICA","",MAX(E28:E63))</f>
        <v/>
      </c>
      <c r="AN71" s="62" t="str">
        <f>+IF(AN72="",IF(AN73="","",AN73),AN72)</f>
        <v/>
      </c>
      <c r="AO71" s="62" t="str">
        <f>+IF(AO72="",IF(AO73="","",AO73*1.25),AO72*1.15)</f>
        <v/>
      </c>
      <c r="AP71" s="63" t="str">
        <f>+B44</f>
        <v>S/N</v>
      </c>
      <c r="AQ71" s="37"/>
    </row>
    <row r="72" spans="1:63" x14ac:dyDescent="0.25">
      <c r="AL72" s="55" t="s">
        <v>42</v>
      </c>
      <c r="AM72" s="66" t="str">
        <f>+IF(N44="NO APLICA","",MAX(E28:E63)-E44*0.2)</f>
        <v/>
      </c>
      <c r="AN72" s="66" t="str">
        <f>+IF(N44="NO APLICA","",D44)</f>
        <v/>
      </c>
      <c r="AO72" s="66" t="str">
        <f>+IF(N44="NO APLICA","",AF44)</f>
        <v/>
      </c>
      <c r="AP72" s="67" t="str">
        <f>+B44</f>
        <v>S/N</v>
      </c>
      <c r="AQ72" s="37"/>
    </row>
    <row r="73" spans="1:63" x14ac:dyDescent="0.25">
      <c r="AL73" s="55" t="s">
        <v>43</v>
      </c>
      <c r="AM73" s="66" t="str">
        <f>+IF(O44="NO APLICA","",MAX(E28:E63)-E44*0.6)</f>
        <v/>
      </c>
      <c r="AN73" s="66" t="str">
        <f>+IF(O44="NO APLICA","",D44)</f>
        <v/>
      </c>
      <c r="AO73" s="66" t="str">
        <f>+IF(O44="NO APLICA","",AG44)</f>
        <v/>
      </c>
      <c r="AP73" s="67" t="str">
        <f>+B44</f>
        <v>S/N</v>
      </c>
      <c r="AQ73" s="37"/>
    </row>
    <row r="74" spans="1:63" x14ac:dyDescent="0.25">
      <c r="AL74" s="55" t="s">
        <v>44</v>
      </c>
      <c r="AM74" s="66" t="str">
        <f>+IF(P44="NO APLICA","",MAX(E28:E63)-E44*0.8)</f>
        <v/>
      </c>
      <c r="AN74" s="66" t="str">
        <f>+IF(P44="NO APLICA","",D44)</f>
        <v/>
      </c>
      <c r="AO74" s="66" t="str">
        <f>+IF(P44="NO APLICA","",AH44)</f>
        <v/>
      </c>
      <c r="AP74" s="67" t="str">
        <f>+B44</f>
        <v>S/N</v>
      </c>
      <c r="AQ74" s="37"/>
    </row>
    <row r="75" spans="1:63" x14ac:dyDescent="0.25">
      <c r="AL75" s="55" t="s">
        <v>52</v>
      </c>
      <c r="AM75" s="68" t="str">
        <f>+IF(AM74="",IF(AM73="","",(AM71-AM76)*0.1+AM76),(AM71-AM76)*0.1+AM76)</f>
        <v/>
      </c>
      <c r="AN75" s="68" t="str">
        <f>+IF(AN74="",IF(AN73="","",AN73),AN74)</f>
        <v/>
      </c>
      <c r="AO75" s="68" t="str">
        <f>+IF(AO74="",IF(AO73="","",AO73*0.75),AO74*0.85)</f>
        <v/>
      </c>
      <c r="AP75" s="67" t="str">
        <f>+B44</f>
        <v>S/N</v>
      </c>
      <c r="AQ75" s="37"/>
    </row>
    <row r="76" spans="1:63" x14ac:dyDescent="0.25">
      <c r="AL76" s="56" t="s">
        <v>45</v>
      </c>
      <c r="AM76" s="70" t="str">
        <f>+IF(C44="NO APLICA","",IF(C42=C44*2,MAX(E28:E63)-E44,IF(O44="NO APLICA","",MAX(E28:E63)-E44)))</f>
        <v/>
      </c>
      <c r="AN76" s="70" t="str">
        <f>+IF(C44="NO APLICA","",IF(C42=C44*2,D44,IF(O44="NO APLICA","",D44)))</f>
        <v/>
      </c>
      <c r="AO76" s="70" t="str">
        <f>+IF(C44="NO APLICA","",IF(C42=C44*2,0,IF(O44="NO APLICA","",0)))</f>
        <v/>
      </c>
      <c r="AP76" s="71" t="str">
        <f>+B44</f>
        <v>S/N</v>
      </c>
      <c r="AQ76" s="37"/>
    </row>
    <row r="77" spans="1:63" x14ac:dyDescent="0.25">
      <c r="AL77" s="54" t="s">
        <v>41</v>
      </c>
      <c r="AM77" s="62" t="str">
        <f>+IF(O46="NO APLICA","",MAX(E28:E63))</f>
        <v/>
      </c>
      <c r="AN77" s="62" t="str">
        <f>+IF(AN78="",IF(AN79="","",AN79),AN78)</f>
        <v/>
      </c>
      <c r="AO77" s="62" t="str">
        <f>+IF(AO78="",IF(AO79="","",AO79*1.25),AO78*1.15)</f>
        <v/>
      </c>
      <c r="AP77" s="63" t="str">
        <f>+B46</f>
        <v>S/N</v>
      </c>
      <c r="AQ77" s="37"/>
    </row>
    <row r="78" spans="1:63" x14ac:dyDescent="0.25">
      <c r="AL78" s="55" t="s">
        <v>42</v>
      </c>
      <c r="AM78" s="66" t="str">
        <f>+IF(N46="NO APLICA","",MAX(E28:E63)-E46*0.2)</f>
        <v/>
      </c>
      <c r="AN78" s="66" t="str">
        <f>+IF(N46="NO APLICA","",D46)</f>
        <v/>
      </c>
      <c r="AO78" s="66" t="str">
        <f>+IF(N46="NO APLICA","",AF46)</f>
        <v/>
      </c>
      <c r="AP78" s="67" t="str">
        <f>+B46</f>
        <v>S/N</v>
      </c>
      <c r="AQ78" s="37"/>
    </row>
    <row r="79" spans="1:63" x14ac:dyDescent="0.25">
      <c r="AL79" s="55" t="s">
        <v>43</v>
      </c>
      <c r="AM79" s="66" t="str">
        <f>+IF(O46="NO APLICA","",MAX(E28:E63)-E46*0.6)</f>
        <v/>
      </c>
      <c r="AN79" s="66" t="str">
        <f>+IF(O46="NO APLICA","",D46)</f>
        <v/>
      </c>
      <c r="AO79" s="66" t="str">
        <f>+IF(O46="NO APLICA","",AG46)</f>
        <v/>
      </c>
      <c r="AP79" s="67" t="str">
        <f>+B46</f>
        <v>S/N</v>
      </c>
      <c r="AQ79" s="37"/>
    </row>
    <row r="80" spans="1:63" x14ac:dyDescent="0.25">
      <c r="AL80" s="55" t="s">
        <v>44</v>
      </c>
      <c r="AM80" s="66" t="str">
        <f>+IF(P46="NO APLICA","",MAX(E28:E63)-E46*0.8)</f>
        <v/>
      </c>
      <c r="AN80" s="66" t="str">
        <f>+IF(P46="NO APLICA","",D46)</f>
        <v/>
      </c>
      <c r="AO80" s="66" t="str">
        <f>+IF(P46="NO APLICA","",AH46)</f>
        <v/>
      </c>
      <c r="AP80" s="67" t="str">
        <f>+B46</f>
        <v>S/N</v>
      </c>
      <c r="AQ80" s="37"/>
    </row>
    <row r="81" spans="38:43" x14ac:dyDescent="0.25">
      <c r="AL81" s="55" t="s">
        <v>52</v>
      </c>
      <c r="AM81" s="68" t="str">
        <f>+IF(AM80="",IF(AM79="","",(AM77-AM82)*0.1+AM82),(AM77-AM82)*0.1+AM82)</f>
        <v/>
      </c>
      <c r="AN81" s="68" t="str">
        <f>+IF(AN80="",IF(AN79="","",AN79),AN80)</f>
        <v/>
      </c>
      <c r="AO81" s="68" t="str">
        <f>+IF(AO80="",IF(AO79="","",AO79*0.75),AO80*0.85)</f>
        <v/>
      </c>
      <c r="AP81" s="67" t="str">
        <f>+B46</f>
        <v>S/N</v>
      </c>
      <c r="AQ81" s="37"/>
    </row>
    <row r="82" spans="38:43" x14ac:dyDescent="0.25">
      <c r="AL82" s="56" t="s">
        <v>45</v>
      </c>
      <c r="AM82" s="70" t="str">
        <f>+IF(C46="NO APLICA","",IF(C44=C46*2,MAX(E28:E63)-E46,IF(O46="NO APLICA","",MAX(E28:E63)-E46)))</f>
        <v/>
      </c>
      <c r="AN82" s="70" t="str">
        <f>+IF(C46="NO APLICA","",IF(C44=C46*2,D46,IF(O46="NO APLICA","",D46)))</f>
        <v/>
      </c>
      <c r="AO82" s="70" t="str">
        <f>+IF(C46="NO APLICA","",IF(C44=C46*2,0,IF(O46="NO APLICA","",0)))</f>
        <v/>
      </c>
      <c r="AP82" s="71" t="str">
        <f>+B46</f>
        <v>S/N</v>
      </c>
      <c r="AQ82" s="37"/>
    </row>
    <row r="83" spans="38:43" x14ac:dyDescent="0.25">
      <c r="AL83" s="54" t="s">
        <v>41</v>
      </c>
      <c r="AM83" s="62" t="str">
        <f>+IF(O48="NO APLICA","",MAX(E28:E63))</f>
        <v/>
      </c>
      <c r="AN83" s="62" t="str">
        <f>+IF(AN84="",IF(AN85="","",AN85),AN84)</f>
        <v/>
      </c>
      <c r="AO83" s="62" t="str">
        <f>+IF(AO84="",IF(AO85="","",AO85*1.25),AO84*1.15)</f>
        <v/>
      </c>
      <c r="AP83" s="63" t="str">
        <f>+B48</f>
        <v>S/N</v>
      </c>
      <c r="AQ83" s="37"/>
    </row>
    <row r="84" spans="38:43" x14ac:dyDescent="0.25">
      <c r="AL84" s="55" t="s">
        <v>42</v>
      </c>
      <c r="AM84" s="66" t="str">
        <f>+IF(N48="NO APLICA","",MAX(E28:E63)-E48*0.2)</f>
        <v/>
      </c>
      <c r="AN84" s="66" t="str">
        <f>+IF(N48="NO APLICA","",D48)</f>
        <v/>
      </c>
      <c r="AO84" s="66" t="str">
        <f>+IF(N48="NO APLICA","",AF48)</f>
        <v/>
      </c>
      <c r="AP84" s="67" t="str">
        <f>+B48</f>
        <v>S/N</v>
      </c>
      <c r="AQ84" s="37"/>
    </row>
    <row r="85" spans="38:43" x14ac:dyDescent="0.25">
      <c r="AL85" s="55" t="s">
        <v>43</v>
      </c>
      <c r="AM85" s="66" t="str">
        <f>+IF(O48="NO APLICA","",MAX(E28:E63)-E48*0.6)</f>
        <v/>
      </c>
      <c r="AN85" s="66" t="str">
        <f>+IF(O48="NO APLICA","",D48)</f>
        <v/>
      </c>
      <c r="AO85" s="66" t="str">
        <f>+IF(O48="NO APLICA","",AG48)</f>
        <v/>
      </c>
      <c r="AP85" s="67" t="str">
        <f>+B48</f>
        <v>S/N</v>
      </c>
      <c r="AQ85" s="37"/>
    </row>
    <row r="86" spans="38:43" x14ac:dyDescent="0.25">
      <c r="AL86" s="55" t="s">
        <v>44</v>
      </c>
      <c r="AM86" s="66" t="str">
        <f>+IF(P48="NO APLICA","",MAX(E28:E63)-E48*0.8)</f>
        <v/>
      </c>
      <c r="AN86" s="66" t="str">
        <f>+IF(P48="NO APLICA","",D48)</f>
        <v/>
      </c>
      <c r="AO86" s="66" t="str">
        <f>+IF(P48="NO APLICA","",AH48)</f>
        <v/>
      </c>
      <c r="AP86" s="67" t="str">
        <f>+B48</f>
        <v>S/N</v>
      </c>
      <c r="AQ86" s="37"/>
    </row>
    <row r="87" spans="38:43" x14ac:dyDescent="0.25">
      <c r="AL87" s="55" t="s">
        <v>52</v>
      </c>
      <c r="AM87" s="68" t="str">
        <f>+IF(AM86="",IF(AM85="","",(AM83-AM88)*0.1+AM88),(AM83-AM88)*0.1+AM88)</f>
        <v/>
      </c>
      <c r="AN87" s="68" t="str">
        <f>+IF(AN86="",IF(AN85="","",AN85),AN86)</f>
        <v/>
      </c>
      <c r="AO87" s="68" t="str">
        <f>+IF(AO86="",IF(AO85="","",AO85*0.75),AO86*0.85)</f>
        <v/>
      </c>
      <c r="AP87" s="67" t="str">
        <f>+B48</f>
        <v>S/N</v>
      </c>
      <c r="AQ87" s="37"/>
    </row>
    <row r="88" spans="38:43" x14ac:dyDescent="0.25">
      <c r="AL88" s="56" t="s">
        <v>45</v>
      </c>
      <c r="AM88" s="70" t="str">
        <f>+IF(C48="NO APLICA","",IF(C46=C48*2,MAX(E28:E63)-E48,IF(O48="NO APLICA","",MAX(E28:E63)-E48)))</f>
        <v/>
      </c>
      <c r="AN88" s="70" t="str">
        <f>+IF(C48="NO APLICA","",IF(C46=C48*2,D48,IF(O48="NO APLICA","",D48)))</f>
        <v/>
      </c>
      <c r="AO88" s="70" t="str">
        <f>+IF(C48="NO APLICA","",IF(C46=C48*2,0,IF(O48="NO APLICA","",0)))</f>
        <v/>
      </c>
      <c r="AP88" s="71" t="str">
        <f>+B48</f>
        <v>S/N</v>
      </c>
      <c r="AQ88" s="36"/>
    </row>
    <row r="89" spans="38:43" x14ac:dyDescent="0.25">
      <c r="AL89" s="54" t="s">
        <v>41</v>
      </c>
      <c r="AM89" s="62" t="str">
        <f>+IF(O50="NO APLICA","",MAX(E28:E63))</f>
        <v/>
      </c>
      <c r="AN89" s="62" t="str">
        <f>+IF(AN90="",IF(AN91="","",AN91),AN90)</f>
        <v/>
      </c>
      <c r="AO89" s="62" t="str">
        <f>+IF(AO90="",IF(AO91="","",AO91*1.25),AO90*1.15)</f>
        <v/>
      </c>
      <c r="AP89" s="63" t="str">
        <f>+B50</f>
        <v>S/N</v>
      </c>
      <c r="AQ89" s="36"/>
    </row>
    <row r="90" spans="38:43" x14ac:dyDescent="0.25">
      <c r="AL90" s="55" t="s">
        <v>42</v>
      </c>
      <c r="AM90" s="66" t="str">
        <f>+IF(N50="NO APLICA","",MAX(E28:E63)-E50*0.2)</f>
        <v/>
      </c>
      <c r="AN90" s="66" t="str">
        <f>+IF(N50="NO APLICA","",D50)</f>
        <v/>
      </c>
      <c r="AO90" s="66" t="str">
        <f>+IF(N50="NO APLICA","",AF50)</f>
        <v/>
      </c>
      <c r="AP90" s="67" t="str">
        <f>+B50</f>
        <v>S/N</v>
      </c>
      <c r="AQ90" s="36"/>
    </row>
    <row r="91" spans="38:43" x14ac:dyDescent="0.25">
      <c r="AL91" s="55" t="s">
        <v>43</v>
      </c>
      <c r="AM91" s="66" t="str">
        <f>+IF(O50="NO APLICA","",MAX(E28:E63)-E50*0.6)</f>
        <v/>
      </c>
      <c r="AN91" s="66" t="str">
        <f>+IF(O50="NO APLICA","",D50)</f>
        <v/>
      </c>
      <c r="AO91" s="66" t="str">
        <f>+IF(O50="NO APLICA","",AG50)</f>
        <v/>
      </c>
      <c r="AP91" s="67" t="str">
        <f>+B50</f>
        <v>S/N</v>
      </c>
      <c r="AQ91" s="36"/>
    </row>
    <row r="92" spans="38:43" x14ac:dyDescent="0.25">
      <c r="AL92" s="55" t="s">
        <v>44</v>
      </c>
      <c r="AM92" s="66" t="str">
        <f>+IF(P50="NO APLICA","",MAX(E28:E63)-E50*0.8)</f>
        <v/>
      </c>
      <c r="AN92" s="66" t="str">
        <f>+IF(P50="NO APLICA","",D50)</f>
        <v/>
      </c>
      <c r="AO92" s="66" t="str">
        <f>+IF(P50="NO APLICA","",AH50)</f>
        <v/>
      </c>
      <c r="AP92" s="67" t="str">
        <f>+B50</f>
        <v>S/N</v>
      </c>
      <c r="AQ92" s="36"/>
    </row>
    <row r="93" spans="38:43" x14ac:dyDescent="0.25">
      <c r="AL93" s="55" t="s">
        <v>52</v>
      </c>
      <c r="AM93" s="68" t="str">
        <f>+IF(AM92="",IF(AM91="","",(AM89-AM94)*0.1+AM94),(AM89-AM94)*0.1+AM94)</f>
        <v/>
      </c>
      <c r="AN93" s="68" t="str">
        <f>+IF(AN92="",IF(AN91="","",AN91),AN92)</f>
        <v/>
      </c>
      <c r="AO93" s="68" t="str">
        <f>+IF(AO92="",IF(AO91="","",AO91*0.75),AO92*0.85)</f>
        <v/>
      </c>
      <c r="AP93" s="67" t="str">
        <f>+B50</f>
        <v>S/N</v>
      </c>
      <c r="AQ93" s="36"/>
    </row>
    <row r="94" spans="38:43" x14ac:dyDescent="0.25">
      <c r="AL94" s="56" t="s">
        <v>45</v>
      </c>
      <c r="AM94" s="70" t="str">
        <f>+IF(C50="NO APLICA","",IF(C48=C50*2,MAX(E28:E63)-E50,IF(O50="NO APLICA","",MAX(E28:E63)-E50)))</f>
        <v/>
      </c>
      <c r="AN94" s="70" t="str">
        <f>+IF(C50="NO APLICA","",IF(C48=C50*2,D50,IF(O50="NO APLICA","",D50)))</f>
        <v/>
      </c>
      <c r="AO94" s="70" t="str">
        <f>+IF(C50="NO APLICA","",IF(C48=C50*2,0,IF(O50="NO APLICA","",0)))</f>
        <v/>
      </c>
      <c r="AP94" s="71" t="str">
        <f>+B50</f>
        <v>S/N</v>
      </c>
      <c r="AQ94" s="36"/>
    </row>
    <row r="95" spans="38:43" x14ac:dyDescent="0.25">
      <c r="AL95" s="54" t="s">
        <v>41</v>
      </c>
      <c r="AM95" s="62" t="str">
        <f>+IF(O52="NO APLICA","",MAX(E28:E63))</f>
        <v/>
      </c>
      <c r="AN95" s="62" t="str">
        <f>+IF(AN96="",IF(AN97="","",AN97),AN96)</f>
        <v/>
      </c>
      <c r="AO95" s="62" t="str">
        <f>+IF(AO96="",IF(AO97="","",AO97*1.25),AO96*1.15)</f>
        <v/>
      </c>
      <c r="AP95" s="63" t="str">
        <f>+B52</f>
        <v>S/N</v>
      </c>
      <c r="AQ95" s="36"/>
    </row>
    <row r="96" spans="38:43" x14ac:dyDescent="0.25">
      <c r="AL96" s="55" t="s">
        <v>42</v>
      </c>
      <c r="AM96" s="66" t="str">
        <f>+IF(N52="NO APLICA","",MAX(E28:E63)-E52*0.2)</f>
        <v/>
      </c>
      <c r="AN96" s="66" t="str">
        <f>+IF(N52="NO APLICA","",D52)</f>
        <v/>
      </c>
      <c r="AO96" s="66" t="str">
        <f>+IF(N52="NO APLICA","",AF52)</f>
        <v/>
      </c>
      <c r="AP96" s="67" t="str">
        <f>+B52</f>
        <v>S/N</v>
      </c>
      <c r="AQ96" s="36"/>
    </row>
    <row r="97" spans="37:44" x14ac:dyDescent="0.25">
      <c r="AL97" s="55" t="s">
        <v>43</v>
      </c>
      <c r="AM97" s="66" t="str">
        <f>+IF(O52="NO APLICA","",MAX(E28:E63)-E52*0.6)</f>
        <v/>
      </c>
      <c r="AN97" s="66" t="str">
        <f>+IF(O52="NO APLICA","",D52)</f>
        <v/>
      </c>
      <c r="AO97" s="66" t="str">
        <f>+IF(O52="NO APLICA","",AG52)</f>
        <v/>
      </c>
      <c r="AP97" s="67" t="str">
        <f>+B52</f>
        <v>S/N</v>
      </c>
      <c r="AQ97" s="36"/>
    </row>
    <row r="98" spans="37:44" x14ac:dyDescent="0.25">
      <c r="AL98" s="55" t="s">
        <v>44</v>
      </c>
      <c r="AM98" s="66" t="str">
        <f>+IF(P52="NO APLICA","",MAX(E28:E63)-E52*0.8)</f>
        <v/>
      </c>
      <c r="AN98" s="66" t="str">
        <f>+IF(P52="NO APLICA","",D52)</f>
        <v/>
      </c>
      <c r="AO98" s="66" t="str">
        <f>+IF(P52="NO APLICA","",AH52)</f>
        <v/>
      </c>
      <c r="AP98" s="67" t="str">
        <f>+B52</f>
        <v>S/N</v>
      </c>
      <c r="AQ98" s="36"/>
    </row>
    <row r="99" spans="37:44" x14ac:dyDescent="0.25">
      <c r="AL99" s="55" t="s">
        <v>52</v>
      </c>
      <c r="AM99" s="68" t="str">
        <f>+IF(AM98="",IF(AM97="","",(AM95-AM100)*0.1+AM100),(AM95-AM100)*0.1+AM100)</f>
        <v/>
      </c>
      <c r="AN99" s="68" t="str">
        <f>+IF(AN98="",IF(AN97="","",AN97),AN98)</f>
        <v/>
      </c>
      <c r="AO99" s="68" t="str">
        <f>+IF(AO98="",IF(AO97="","",AO97*0.75),AO98*0.85)</f>
        <v/>
      </c>
      <c r="AP99" s="67" t="str">
        <f>+B52</f>
        <v>S/N</v>
      </c>
      <c r="AQ99" s="36"/>
    </row>
    <row r="100" spans="37:44" x14ac:dyDescent="0.25">
      <c r="AL100" s="56" t="s">
        <v>45</v>
      </c>
      <c r="AM100" s="70" t="str">
        <f>+IF(C52="NO APLICA","",IF(C50=C52*2,MAX(E28:E63)-E52,IF(O52="NO APLICA","",MAX(E28:E63)-E52)))</f>
        <v/>
      </c>
      <c r="AN100" s="70" t="str">
        <f>+IF(C52="NO APLICA","",IF(C50=C52*2,D52,IF(O52="NO APLICA","",D52)))</f>
        <v/>
      </c>
      <c r="AO100" s="70" t="str">
        <f>+IF(C52="NO APLICA","",IF(C50=C52*2,0,IF(O52="NO APLICA","",0)))</f>
        <v/>
      </c>
      <c r="AP100" s="71" t="str">
        <f>+B52</f>
        <v>S/N</v>
      </c>
      <c r="AQ100" s="37"/>
      <c r="AR100" s="6"/>
    </row>
    <row r="101" spans="37:44" x14ac:dyDescent="0.25">
      <c r="AL101" s="54" t="s">
        <v>41</v>
      </c>
      <c r="AM101" s="62" t="str">
        <f>+IF(O54="NO APLICA","",MAX(E28:E63))</f>
        <v/>
      </c>
      <c r="AN101" s="62" t="str">
        <f>+IF(AN102="",IF(AN103="","",AN103),AN102)</f>
        <v/>
      </c>
      <c r="AO101" s="62" t="str">
        <f>+IF(AO102="",IF(AO103="","",AO103*1.25),AO102*1.15)</f>
        <v/>
      </c>
      <c r="AP101" s="63" t="str">
        <f>+B54</f>
        <v>S/N</v>
      </c>
      <c r="AQ101" s="37"/>
      <c r="AR101" s="6"/>
    </row>
    <row r="102" spans="37:44" x14ac:dyDescent="0.25">
      <c r="AL102" s="55" t="s">
        <v>42</v>
      </c>
      <c r="AM102" s="66" t="str">
        <f>+IF(N54="NO APLICA","",MAX(E28:E63)-E54*0.2)</f>
        <v/>
      </c>
      <c r="AN102" s="66" t="str">
        <f>+IF(N54="NO APLICA","",D54)</f>
        <v/>
      </c>
      <c r="AO102" s="66" t="str">
        <f>+IF(N54="NO APLICA","",AF54)</f>
        <v/>
      </c>
      <c r="AP102" s="67" t="str">
        <f>+B54</f>
        <v>S/N</v>
      </c>
      <c r="AQ102" s="37"/>
      <c r="AR102" s="6"/>
    </row>
    <row r="103" spans="37:44" x14ac:dyDescent="0.25">
      <c r="AL103" s="55" t="s">
        <v>43</v>
      </c>
      <c r="AM103" s="66" t="str">
        <f>+IF(O54="NO APLICA","",MAX(E28:E63)-E54*0.6)</f>
        <v/>
      </c>
      <c r="AN103" s="66" t="str">
        <f>+IF(O54="NO APLICA","",D54)</f>
        <v/>
      </c>
      <c r="AO103" s="66" t="str">
        <f>+IF(O54="NO APLICA","",AG54)</f>
        <v/>
      </c>
      <c r="AP103" s="67" t="str">
        <f>+B54</f>
        <v>S/N</v>
      </c>
      <c r="AQ103" s="37"/>
      <c r="AR103" s="6"/>
    </row>
    <row r="104" spans="37:44" x14ac:dyDescent="0.25">
      <c r="AL104" s="55" t="s">
        <v>44</v>
      </c>
      <c r="AM104" s="66" t="str">
        <f>+IF(P54="NO APLICA","",MAX(E28:E63)-E54*0.8)</f>
        <v/>
      </c>
      <c r="AN104" s="66" t="str">
        <f>+IF(P54="NO APLICA","",D54)</f>
        <v/>
      </c>
      <c r="AO104" s="66" t="str">
        <f>+IF(P54="NO APLICA","",AH54)</f>
        <v/>
      </c>
      <c r="AP104" s="67" t="str">
        <f>+B54</f>
        <v>S/N</v>
      </c>
      <c r="AQ104" s="37"/>
      <c r="AR104" s="6"/>
    </row>
    <row r="105" spans="37:44" x14ac:dyDescent="0.25">
      <c r="AL105" s="55" t="s">
        <v>52</v>
      </c>
      <c r="AM105" s="68" t="str">
        <f>+IF(AM104="",IF(AM103="","",(AM101-AM106)*0.1+AM106),(AM101-AM106)*0.1+AM106)</f>
        <v/>
      </c>
      <c r="AN105" s="68" t="str">
        <f>+IF(AN104="",IF(AN103="","",AN103),AN104)</f>
        <v/>
      </c>
      <c r="AO105" s="68" t="str">
        <f>+IF(AO104="",IF(AO103="","",AO103*0.75),AO104*0.85)</f>
        <v/>
      </c>
      <c r="AP105" s="67" t="str">
        <f>+B54</f>
        <v>S/N</v>
      </c>
      <c r="AQ105" s="37"/>
      <c r="AR105" s="6"/>
    </row>
    <row r="106" spans="37:44" x14ac:dyDescent="0.25">
      <c r="AL106" s="56" t="s">
        <v>45</v>
      </c>
      <c r="AM106" s="70" t="str">
        <f>+IF(C54="NO APLICA","",IF(C52=C54*2,MAX(E28:E63)-E54,IF(O54="NO APLICA","",MAX(E28:E63)-E54)))</f>
        <v/>
      </c>
      <c r="AN106" s="70" t="str">
        <f>+IF(C54="NO APLICA","",IF(C52=C54*2,D54,IF(O54="NO APLICA","",D54)))</f>
        <v/>
      </c>
      <c r="AO106" s="70" t="str">
        <f>+IF(C54="NO APLICA","",IF(C52=C54*2,0,IF(O54="NO APLICA","",0)))</f>
        <v/>
      </c>
      <c r="AP106" s="71" t="str">
        <f>+B54</f>
        <v>S/N</v>
      </c>
      <c r="AQ106" s="37"/>
      <c r="AR106" s="6"/>
    </row>
    <row r="107" spans="37:44" x14ac:dyDescent="0.25">
      <c r="AL107" s="54" t="s">
        <v>41</v>
      </c>
      <c r="AM107" s="62" t="str">
        <f>+IF(O56="NO APLICA","",MAX(E28:E63))</f>
        <v/>
      </c>
      <c r="AN107" s="62" t="str">
        <f>+IF(AN108="",IF(AN109="","",AN109),AN108)</f>
        <v/>
      </c>
      <c r="AO107" s="62" t="str">
        <f>+IF(AO108="",IF(AO109="","",AO109*1.25),AO108*1.15)</f>
        <v/>
      </c>
      <c r="AP107" s="63" t="str">
        <f>+B56</f>
        <v>S/N</v>
      </c>
      <c r="AQ107" s="37"/>
      <c r="AR107" s="6"/>
    </row>
    <row r="108" spans="37:44" x14ac:dyDescent="0.25">
      <c r="AL108" s="55" t="s">
        <v>42</v>
      </c>
      <c r="AM108" s="66" t="str">
        <f>+IF(N56="NO APLICA","",MAX(E28:E63)-E56*0.2)</f>
        <v/>
      </c>
      <c r="AN108" s="66" t="str">
        <f>+IF(N56="NO APLICA","",D56)</f>
        <v/>
      </c>
      <c r="AO108" s="66" t="str">
        <f>+IF(N56="NO APLICA","",AF56)</f>
        <v/>
      </c>
      <c r="AP108" s="67" t="str">
        <f>+B56</f>
        <v>S/N</v>
      </c>
      <c r="AQ108" s="37"/>
      <c r="AR108" s="6"/>
    </row>
    <row r="109" spans="37:44" x14ac:dyDescent="0.25">
      <c r="AL109" s="55" t="s">
        <v>43</v>
      </c>
      <c r="AM109" s="66" t="str">
        <f>+IF(O56="NO APLICA","",MAX(E28:E63)-E56*0.6)</f>
        <v/>
      </c>
      <c r="AN109" s="66" t="str">
        <f>+IF(O56="NO APLICA","",D56)</f>
        <v/>
      </c>
      <c r="AO109" s="66" t="str">
        <f>+IF(O56="NO APLICA","",AG56)</f>
        <v/>
      </c>
      <c r="AP109" s="67" t="str">
        <f>+B56</f>
        <v>S/N</v>
      </c>
      <c r="AQ109" s="37"/>
      <c r="AR109" s="6"/>
    </row>
    <row r="110" spans="37:44" x14ac:dyDescent="0.25">
      <c r="AL110" s="55" t="s">
        <v>44</v>
      </c>
      <c r="AM110" s="66" t="str">
        <f>+IF(P56="NO APLICA","",MAX(E28:E63)-E54*0.8)</f>
        <v/>
      </c>
      <c r="AN110" s="66" t="str">
        <f>+IF(P56="NO APLICA","",D56)</f>
        <v/>
      </c>
      <c r="AO110" s="66" t="str">
        <f>+IF(P56="NO APLICA","",AH56)</f>
        <v/>
      </c>
      <c r="AP110" s="67" t="str">
        <f>+B56</f>
        <v>S/N</v>
      </c>
      <c r="AQ110" s="37"/>
      <c r="AR110" s="6"/>
    </row>
    <row r="111" spans="37:44" x14ac:dyDescent="0.25">
      <c r="AL111" s="55" t="s">
        <v>52</v>
      </c>
      <c r="AM111" s="68" t="str">
        <f>+IF(AM110="",IF(AM109="","",(AM107-AM112)*0.1+AM112),(AM107-AM112)*0.1+AM112)</f>
        <v/>
      </c>
      <c r="AN111" s="68" t="str">
        <f>+IF(AN110="",IF(AN109="","",AN109),AN110)</f>
        <v/>
      </c>
      <c r="AO111" s="68" t="str">
        <f>+IF(AO110="",IF(AO109="","",AO109*0.75),AO110*0.85)</f>
        <v/>
      </c>
      <c r="AP111" s="67" t="str">
        <f>+B56</f>
        <v>S/N</v>
      </c>
      <c r="AQ111" s="37"/>
      <c r="AR111" s="6"/>
    </row>
    <row r="112" spans="37:44" x14ac:dyDescent="0.25">
      <c r="AK112" s="6"/>
      <c r="AL112" s="56" t="s">
        <v>45</v>
      </c>
      <c r="AM112" s="70" t="str">
        <f>+IF(C56="NO APLICA","",IF(C54=C56*2,MAX(E28:E63)-E56,IF(O56="NO APLICA","",MAX(E28:E63)-E56)))</f>
        <v/>
      </c>
      <c r="AN112" s="70" t="str">
        <f>+IF(C56="NO APLICA","",IF(C54=C56*2,D56,IF(O56="NO APLICA","",D56)))</f>
        <v/>
      </c>
      <c r="AO112" s="70" t="str">
        <f>+IF(C56="NO APLICA","",IF(C54=C56*2,0,IF(O56="NO APLICA","",0)))</f>
        <v/>
      </c>
      <c r="AP112" s="71" t="str">
        <f>+B56</f>
        <v>S/N</v>
      </c>
      <c r="AQ112" s="37"/>
      <c r="AR112" s="6"/>
    </row>
    <row r="113" spans="37:44" x14ac:dyDescent="0.25">
      <c r="AK113" s="6"/>
      <c r="AL113" s="54" t="s">
        <v>41</v>
      </c>
      <c r="AM113" s="62" t="str">
        <f>+IF(O58="NO APLICA","",MAX(E28:E63))</f>
        <v/>
      </c>
      <c r="AN113" s="62" t="str">
        <f>+IF(AN114="",IF(AN115="","",AN115),AN114)</f>
        <v/>
      </c>
      <c r="AO113" s="62" t="str">
        <f>+IF(AO114="",IF(AO115="","",AO115*1.25),AO114*1.15)</f>
        <v/>
      </c>
      <c r="AP113" s="63" t="str">
        <f>+B58</f>
        <v>S/N</v>
      </c>
      <c r="AQ113" s="37"/>
      <c r="AR113" s="6"/>
    </row>
    <row r="114" spans="37:44" x14ac:dyDescent="0.25">
      <c r="AK114" s="6"/>
      <c r="AL114" s="55" t="s">
        <v>42</v>
      </c>
      <c r="AM114" s="66" t="str">
        <f>+IF(N58="NO APLICA","",MAX(E28:E63)-E58*0.2)</f>
        <v/>
      </c>
      <c r="AN114" s="66" t="str">
        <f>+IF(N58="NO APLICA","",D58)</f>
        <v/>
      </c>
      <c r="AO114" s="66" t="str">
        <f>+IF(N58="NO APLICA","",AF58)</f>
        <v/>
      </c>
      <c r="AP114" s="67" t="str">
        <f>+B58</f>
        <v>S/N</v>
      </c>
      <c r="AQ114" s="37"/>
      <c r="AR114" s="6"/>
    </row>
    <row r="115" spans="37:44" x14ac:dyDescent="0.25">
      <c r="AK115" s="6"/>
      <c r="AL115" s="55" t="s">
        <v>43</v>
      </c>
      <c r="AM115" s="66" t="str">
        <f>+IF(O58="NO APLICA","",MAX(E28:E63)-E58*0.6)</f>
        <v/>
      </c>
      <c r="AN115" s="66" t="str">
        <f>+IF(O58="NO APLICA","",D58)</f>
        <v/>
      </c>
      <c r="AO115" s="66" t="str">
        <f>+IF(O58="NO APLICA","",AG58)</f>
        <v/>
      </c>
      <c r="AP115" s="67" t="str">
        <f>+B58</f>
        <v>S/N</v>
      </c>
      <c r="AQ115" s="37"/>
      <c r="AR115" s="6"/>
    </row>
    <row r="116" spans="37:44" x14ac:dyDescent="0.25">
      <c r="AK116" s="6"/>
      <c r="AL116" s="55" t="s">
        <v>44</v>
      </c>
      <c r="AM116" s="66" t="str">
        <f>+IF(P58="NO APLICA","",MAX(E28:E63)-E58*0.8)</f>
        <v/>
      </c>
      <c r="AN116" s="66" t="str">
        <f>+IF(P58="NO APLICA","",D58)</f>
        <v/>
      </c>
      <c r="AO116" s="66" t="str">
        <f>+IF(P58="NO APLICA","",AH58)</f>
        <v/>
      </c>
      <c r="AP116" s="67" t="str">
        <f>+B58</f>
        <v>S/N</v>
      </c>
      <c r="AQ116" s="37"/>
      <c r="AR116" s="6"/>
    </row>
    <row r="117" spans="37:44" x14ac:dyDescent="0.25">
      <c r="AK117" s="6"/>
      <c r="AL117" s="55" t="s">
        <v>52</v>
      </c>
      <c r="AM117" s="68" t="str">
        <f>+IF(AM116="",IF(AM115="","",(AM113-AM118)*0.1+AM118),(AM113-AM118)*0.1+AM118)</f>
        <v/>
      </c>
      <c r="AN117" s="68" t="str">
        <f>+IF(AN116="",IF(AN115="","",AN115),AN116)</f>
        <v/>
      </c>
      <c r="AO117" s="68" t="str">
        <f>+IF(AO116="",IF(AO115="","",AO115*0.75),AO116*0.85)</f>
        <v/>
      </c>
      <c r="AP117" s="67" t="str">
        <f>+B58</f>
        <v>S/N</v>
      </c>
      <c r="AQ117" s="37"/>
      <c r="AR117" s="6"/>
    </row>
    <row r="118" spans="37:44" x14ac:dyDescent="0.25">
      <c r="AK118" s="6"/>
      <c r="AL118" s="56" t="s">
        <v>45</v>
      </c>
      <c r="AM118" s="70" t="str">
        <f>+IF(C58="NO APLICA","",IF(C56=C58*2,MAX(E28:E63)-E58,IF(O58="NO APLICA","",MAX(E28:E63)-E58)))</f>
        <v/>
      </c>
      <c r="AN118" s="70" t="str">
        <f>+IF(C58="NO APLICA","",IF(C56=C58*2,D58,IF(O58="NO APLICA","",D58)))</f>
        <v/>
      </c>
      <c r="AO118" s="70" t="str">
        <f>+IF(C58="NO APLICA","",IF(C56=C58*2,0,IF(O58="NO APLICA","",0)))</f>
        <v/>
      </c>
      <c r="AP118" s="71" t="str">
        <f>+B58</f>
        <v>S/N</v>
      </c>
      <c r="AQ118" s="37"/>
      <c r="AR118" s="6"/>
    </row>
    <row r="119" spans="37:44" x14ac:dyDescent="0.25">
      <c r="AK119" s="6"/>
      <c r="AL119" s="54" t="s">
        <v>41</v>
      </c>
      <c r="AM119" s="62" t="str">
        <f>+IF(O60="NO APLICA","",MAX(E28:E63))</f>
        <v/>
      </c>
      <c r="AN119" s="62" t="str">
        <f>+IF(AN120="",IF(AN121="","",AN121),AN120)</f>
        <v/>
      </c>
      <c r="AO119" s="62" t="str">
        <f>+IF(AO120="",IF(AO121="","",AO121*1.25),AO120*1.15)</f>
        <v/>
      </c>
      <c r="AP119" s="63" t="str">
        <f>+B60</f>
        <v>S/N</v>
      </c>
      <c r="AQ119" s="37"/>
      <c r="AR119" s="6"/>
    </row>
    <row r="120" spans="37:44" x14ac:dyDescent="0.25">
      <c r="AK120" s="6"/>
      <c r="AL120" s="55" t="s">
        <v>42</v>
      </c>
      <c r="AM120" s="66" t="str">
        <f>+IF(N60="NO APLICA","",MAX(E28:E63)-E60*0.2)</f>
        <v/>
      </c>
      <c r="AN120" s="66" t="str">
        <f>+IF(N60="NO APLICA","",D60)</f>
        <v/>
      </c>
      <c r="AO120" s="66" t="str">
        <f>+IF(N60="NO APLICA","",AF60)</f>
        <v/>
      </c>
      <c r="AP120" s="67" t="str">
        <f>+B60</f>
        <v>S/N</v>
      </c>
      <c r="AQ120" s="37"/>
      <c r="AR120" s="6"/>
    </row>
    <row r="121" spans="37:44" x14ac:dyDescent="0.25">
      <c r="AK121" s="6"/>
      <c r="AL121" s="55" t="s">
        <v>43</v>
      </c>
      <c r="AM121" s="66" t="str">
        <f>+IF(O60="NO APLICA","",MAX(E28:E63)-E60*0.6)</f>
        <v/>
      </c>
      <c r="AN121" s="66" t="str">
        <f>+IF(O60="NO APLICA","",D60)</f>
        <v/>
      </c>
      <c r="AO121" s="66" t="str">
        <f>+IF(O60="NO APLICA","",AG60)</f>
        <v/>
      </c>
      <c r="AP121" s="67" t="str">
        <f>+B60</f>
        <v>S/N</v>
      </c>
      <c r="AQ121" s="37"/>
      <c r="AR121" s="6"/>
    </row>
    <row r="122" spans="37:44" x14ac:dyDescent="0.25">
      <c r="AK122" s="6"/>
      <c r="AL122" s="55" t="s">
        <v>44</v>
      </c>
      <c r="AM122" s="66" t="str">
        <f>+IF(P60="NO APLICA","",MAX(E28:E63)-E60*0.8)</f>
        <v/>
      </c>
      <c r="AN122" s="66" t="str">
        <f>+IF(P60="NO APLICA","",D60)</f>
        <v/>
      </c>
      <c r="AO122" s="66" t="str">
        <f>+IF(P60="NO APLICA","",AH60)</f>
        <v/>
      </c>
      <c r="AP122" s="67" t="str">
        <f>+B60</f>
        <v>S/N</v>
      </c>
      <c r="AQ122" s="37"/>
      <c r="AR122" s="6"/>
    </row>
    <row r="123" spans="37:44" x14ac:dyDescent="0.25">
      <c r="AK123" s="6"/>
      <c r="AL123" s="55" t="s">
        <v>52</v>
      </c>
      <c r="AM123" s="68" t="str">
        <f>+IF(AM122="",IF(AM121="","",(AM119-AM124)*0.1+AM124),(AM119-AM124)*0.1+AM124)</f>
        <v/>
      </c>
      <c r="AN123" s="68" t="str">
        <f>+IF(AN122="",IF(AN121="","",AN121),AN122)</f>
        <v/>
      </c>
      <c r="AO123" s="68" t="str">
        <f>+IF(AO122="",IF(AO121="","",AO121*0.75),AO122*0.85)</f>
        <v/>
      </c>
      <c r="AP123" s="67" t="str">
        <f>+B60</f>
        <v>S/N</v>
      </c>
      <c r="AQ123" s="37"/>
      <c r="AR123" s="6"/>
    </row>
    <row r="124" spans="37:44" x14ac:dyDescent="0.25">
      <c r="AK124" s="6"/>
      <c r="AL124" s="55" t="s">
        <v>45</v>
      </c>
      <c r="AM124" s="66" t="str">
        <f>+IF(C60="NO APLICA","",IF(C58=C60*2,MAX(E28:E63)-E60,IF(O60="NO APLICA","",MAX(E28:E63)-E60)))</f>
        <v/>
      </c>
      <c r="AN124" s="66" t="str">
        <f>+IF(C60="NO APLICA","",IF(C58=C60*2,D60,IF(O60="NO APLICA","",D60)))</f>
        <v/>
      </c>
      <c r="AO124" s="66" t="str">
        <f>+IF(C60="NO APLICA","",IF(C58=C60*2,0,IF(O60="NO APLICA","",0)))</f>
        <v/>
      </c>
      <c r="AP124" s="71" t="str">
        <f>+B60</f>
        <v>S/N</v>
      </c>
      <c r="AQ124" s="37"/>
      <c r="AR124" s="6"/>
    </row>
    <row r="125" spans="37:44" x14ac:dyDescent="0.25">
      <c r="AL125" s="57" t="s">
        <v>58</v>
      </c>
      <c r="AM125" s="72" t="str">
        <f>+IF(AM121="","",MAX(E28:E63)-E62)</f>
        <v/>
      </c>
      <c r="AN125" s="73" t="str">
        <f>+IF(AM125="","",D62)</f>
        <v/>
      </c>
      <c r="AO125" s="73" t="str">
        <f>+IF(AM125="","",0)</f>
        <v/>
      </c>
      <c r="AP125" s="74" t="str">
        <f>+B62</f>
        <v>S/N</v>
      </c>
      <c r="AQ125" s="37"/>
      <c r="AR125" s="6"/>
    </row>
    <row r="126" spans="37:44" x14ac:dyDescent="0.25">
      <c r="AL126" s="7"/>
      <c r="AM126" s="38"/>
      <c r="AN126" s="39"/>
      <c r="AO126" s="39"/>
      <c r="AP126" s="37"/>
      <c r="AQ126" s="37"/>
      <c r="AR126" s="6"/>
    </row>
    <row r="127" spans="37:44" x14ac:dyDescent="0.25">
      <c r="AL127" s="7"/>
      <c r="AM127" s="34"/>
      <c r="AN127" s="34"/>
      <c r="AO127" s="35"/>
      <c r="AP127" s="37"/>
      <c r="AQ127" s="37"/>
      <c r="AR127" s="6"/>
    </row>
    <row r="128" spans="37:44" x14ac:dyDescent="0.25">
      <c r="AL128" s="7"/>
      <c r="AM128" s="34"/>
      <c r="AN128" s="34"/>
      <c r="AO128" s="35"/>
      <c r="AP128" s="37"/>
      <c r="AQ128" s="37"/>
      <c r="AR128" s="6"/>
    </row>
    <row r="129" spans="38:44" x14ac:dyDescent="0.25">
      <c r="AL129" s="7"/>
      <c r="AM129" s="34"/>
      <c r="AN129" s="34"/>
      <c r="AO129" s="35"/>
      <c r="AP129" s="37"/>
      <c r="AQ129" s="37"/>
      <c r="AR129" s="6"/>
    </row>
    <row r="130" spans="38:44" x14ac:dyDescent="0.25">
      <c r="AL130" s="7"/>
      <c r="AM130" s="39"/>
      <c r="AN130" s="39"/>
      <c r="AO130" s="39"/>
      <c r="AP130" s="37"/>
      <c r="AQ130" s="37"/>
      <c r="AR130" s="6"/>
    </row>
    <row r="131" spans="38:44" x14ac:dyDescent="0.25">
      <c r="AL131" s="7"/>
      <c r="AM131" s="38"/>
      <c r="AN131" s="39"/>
      <c r="AO131" s="39"/>
      <c r="AP131" s="37"/>
      <c r="AQ131" s="37"/>
      <c r="AR131" s="6"/>
    </row>
    <row r="132" spans="38:44" x14ac:dyDescent="0.25">
      <c r="AL132" s="7"/>
      <c r="AM132" s="34"/>
      <c r="AN132" s="34"/>
      <c r="AO132" s="35"/>
      <c r="AP132" s="37"/>
      <c r="AQ132" s="37"/>
      <c r="AR132" s="6"/>
    </row>
    <row r="133" spans="38:44" x14ac:dyDescent="0.25">
      <c r="AL133" s="7"/>
      <c r="AM133" s="34"/>
      <c r="AN133" s="34"/>
      <c r="AO133" s="35"/>
      <c r="AP133" s="37"/>
      <c r="AQ133" s="37"/>
      <c r="AR133" s="6"/>
    </row>
    <row r="134" spans="38:44" x14ac:dyDescent="0.25">
      <c r="AL134" s="7"/>
      <c r="AM134" s="34"/>
      <c r="AN134" s="34"/>
      <c r="AO134" s="35"/>
      <c r="AP134" s="37"/>
      <c r="AQ134" s="37"/>
      <c r="AR134" s="6"/>
    </row>
    <row r="135" spans="38:44" x14ac:dyDescent="0.25">
      <c r="AL135" s="7"/>
      <c r="AM135" s="39"/>
      <c r="AN135" s="39"/>
      <c r="AO135" s="39"/>
      <c r="AP135" s="37"/>
      <c r="AQ135" s="37"/>
      <c r="AR135" s="6"/>
    </row>
    <row r="136" spans="38:44" x14ac:dyDescent="0.25">
      <c r="AL136" s="7"/>
      <c r="AM136" s="34"/>
      <c r="AN136" s="34"/>
      <c r="AO136" s="35"/>
      <c r="AP136" s="37"/>
      <c r="AQ136" s="37"/>
      <c r="AR136" s="6"/>
    </row>
    <row r="137" spans="38:44" x14ac:dyDescent="0.25">
      <c r="AL137" s="7"/>
      <c r="AM137" s="7"/>
      <c r="AN137" s="7"/>
      <c r="AO137" s="6"/>
      <c r="AP137" s="37"/>
      <c r="AQ137" s="37"/>
      <c r="AR137" s="6"/>
    </row>
    <row r="138" spans="38:44" x14ac:dyDescent="0.25">
      <c r="AL138" s="7"/>
      <c r="AM138" s="7"/>
      <c r="AN138" s="7"/>
      <c r="AO138" s="6"/>
      <c r="AP138" s="37"/>
      <c r="AQ138" s="37"/>
      <c r="AR138" s="6"/>
    </row>
    <row r="139" spans="38:44" x14ac:dyDescent="0.25">
      <c r="AL139" s="7"/>
      <c r="AM139" s="7"/>
      <c r="AN139" s="7"/>
      <c r="AO139" s="6"/>
      <c r="AP139" s="37"/>
      <c r="AQ139" s="37"/>
      <c r="AR139" s="6"/>
    </row>
    <row r="140" spans="38:44" x14ac:dyDescent="0.25">
      <c r="AL140" s="7"/>
      <c r="AM140" s="7"/>
      <c r="AN140" s="7"/>
      <c r="AO140" s="6"/>
      <c r="AP140" s="37"/>
      <c r="AQ140" s="37"/>
      <c r="AR140" s="6"/>
    </row>
    <row r="141" spans="38:44" x14ac:dyDescent="0.25">
      <c r="AP141" s="36"/>
      <c r="AQ141" s="36"/>
    </row>
    <row r="142" spans="38:44" x14ac:dyDescent="0.25">
      <c r="AP142" s="36"/>
      <c r="AQ142" s="36"/>
    </row>
    <row r="143" spans="38:44" x14ac:dyDescent="0.25">
      <c r="AP143" s="36"/>
      <c r="AQ143" s="36"/>
    </row>
    <row r="144" spans="38:44" x14ac:dyDescent="0.25">
      <c r="AP144" s="36"/>
      <c r="AQ144" s="36"/>
    </row>
    <row r="145" spans="42:43" x14ac:dyDescent="0.25">
      <c r="AP145" s="36"/>
      <c r="AQ145" s="36"/>
    </row>
    <row r="146" spans="42:43" x14ac:dyDescent="0.25">
      <c r="AP146" s="36"/>
      <c r="AQ146" s="36"/>
    </row>
    <row r="147" spans="42:43" x14ac:dyDescent="0.25">
      <c r="AP147" s="36"/>
      <c r="AQ147" s="36"/>
    </row>
    <row r="148" spans="42:43" x14ac:dyDescent="0.25">
      <c r="AP148" s="36"/>
      <c r="AQ148" s="36"/>
    </row>
    <row r="149" spans="42:43" x14ac:dyDescent="0.25">
      <c r="AP149" s="36"/>
      <c r="AQ149" s="36"/>
    </row>
    <row r="150" spans="42:43" x14ac:dyDescent="0.25">
      <c r="AP150" s="36"/>
      <c r="AQ150" s="36"/>
    </row>
    <row r="151" spans="42:43" x14ac:dyDescent="0.25">
      <c r="AP151" s="36"/>
      <c r="AQ151" s="36"/>
    </row>
    <row r="152" spans="42:43" x14ac:dyDescent="0.25">
      <c r="AP152" s="36"/>
      <c r="AQ152" s="36"/>
    </row>
    <row r="153" spans="42:43" x14ac:dyDescent="0.25">
      <c r="AP153" s="36"/>
      <c r="AQ153" s="36"/>
    </row>
    <row r="154" spans="42:43" x14ac:dyDescent="0.25">
      <c r="AP154" s="36"/>
      <c r="AQ154" s="36"/>
    </row>
    <row r="155" spans="42:43" x14ac:dyDescent="0.25">
      <c r="AP155" s="36"/>
      <c r="AQ155" s="36"/>
    </row>
    <row r="156" spans="42:43" x14ac:dyDescent="0.25">
      <c r="AP156" s="36"/>
      <c r="AQ156" s="36"/>
    </row>
    <row r="157" spans="42:43" x14ac:dyDescent="0.25">
      <c r="AP157" s="36"/>
      <c r="AQ157" s="36"/>
    </row>
    <row r="158" spans="42:43" x14ac:dyDescent="0.25">
      <c r="AP158" s="36"/>
      <c r="AQ158" s="36"/>
    </row>
    <row r="159" spans="42:43" x14ac:dyDescent="0.25">
      <c r="AP159" s="36"/>
      <c r="AQ159" s="36"/>
    </row>
    <row r="160" spans="42:43" x14ac:dyDescent="0.25">
      <c r="AP160" s="36"/>
      <c r="AQ160" s="36"/>
    </row>
    <row r="161" spans="42:43" x14ac:dyDescent="0.25">
      <c r="AP161" s="36"/>
      <c r="AQ161" s="36"/>
    </row>
    <row r="162" spans="42:43" x14ac:dyDescent="0.25">
      <c r="AP162" s="36"/>
      <c r="AQ162" s="36"/>
    </row>
    <row r="163" spans="42:43" x14ac:dyDescent="0.25">
      <c r="AP163" s="36"/>
      <c r="AQ163" s="36"/>
    </row>
    <row r="164" spans="42:43" x14ac:dyDescent="0.25">
      <c r="AP164" s="36"/>
      <c r="AQ164" s="36"/>
    </row>
    <row r="165" spans="42:43" x14ac:dyDescent="0.25">
      <c r="AP165" s="36"/>
      <c r="AQ165" s="36"/>
    </row>
    <row r="166" spans="42:43" x14ac:dyDescent="0.25">
      <c r="AP166" s="36"/>
      <c r="AQ166" s="36"/>
    </row>
    <row r="167" spans="42:43" x14ac:dyDescent="0.25">
      <c r="AP167" s="36"/>
      <c r="AQ167" s="36"/>
    </row>
    <row r="168" spans="42:43" x14ac:dyDescent="0.25">
      <c r="AP168" s="36"/>
      <c r="AQ168" s="36"/>
    </row>
    <row r="169" spans="42:43" x14ac:dyDescent="0.25">
      <c r="AP169" s="36"/>
      <c r="AQ169" s="36"/>
    </row>
    <row r="170" spans="42:43" x14ac:dyDescent="0.25">
      <c r="AP170" s="36"/>
      <c r="AQ170" s="36"/>
    </row>
    <row r="171" spans="42:43" x14ac:dyDescent="0.25">
      <c r="AP171" s="36"/>
      <c r="AQ171" s="36"/>
    </row>
    <row r="172" spans="42:43" x14ac:dyDescent="0.25">
      <c r="AP172" s="36"/>
      <c r="AQ172" s="36"/>
    </row>
    <row r="173" spans="42:43" x14ac:dyDescent="0.25">
      <c r="AP173" s="36"/>
      <c r="AQ173" s="36"/>
    </row>
    <row r="174" spans="42:43" x14ac:dyDescent="0.25">
      <c r="AP174" s="36"/>
      <c r="AQ174" s="36"/>
    </row>
    <row r="175" spans="42:43" x14ac:dyDescent="0.25">
      <c r="AP175" s="36"/>
      <c r="AQ175" s="36"/>
    </row>
    <row r="176" spans="42:43" x14ac:dyDescent="0.25">
      <c r="AP176" s="36"/>
      <c r="AQ176" s="36"/>
    </row>
    <row r="177" spans="42:43" x14ac:dyDescent="0.25">
      <c r="AP177" s="36"/>
      <c r="AQ177" s="36"/>
    </row>
    <row r="178" spans="42:43" x14ac:dyDescent="0.25">
      <c r="AP178" s="36"/>
      <c r="AQ178" s="36"/>
    </row>
    <row r="179" spans="42:43" x14ac:dyDescent="0.25">
      <c r="AP179" s="36"/>
      <c r="AQ179" s="36"/>
    </row>
    <row r="180" spans="42:43" x14ac:dyDescent="0.25">
      <c r="AP180" s="36"/>
      <c r="AQ180" s="36"/>
    </row>
    <row r="181" spans="42:43" x14ac:dyDescent="0.25">
      <c r="AP181" s="36"/>
      <c r="AQ181" s="36"/>
    </row>
    <row r="182" spans="42:43" x14ac:dyDescent="0.25">
      <c r="AP182" s="36"/>
      <c r="AQ182" s="36"/>
    </row>
    <row r="183" spans="42:43" x14ac:dyDescent="0.25">
      <c r="AP183" s="36"/>
      <c r="AQ183" s="36"/>
    </row>
    <row r="184" spans="42:43" x14ac:dyDescent="0.25">
      <c r="AP184" s="36"/>
      <c r="AQ184" s="36"/>
    </row>
    <row r="185" spans="42:43" x14ac:dyDescent="0.25">
      <c r="AP185" s="36"/>
      <c r="AQ185" s="36"/>
    </row>
    <row r="186" spans="42:43" x14ac:dyDescent="0.25">
      <c r="AP186" s="36"/>
      <c r="AQ186" s="36"/>
    </row>
    <row r="187" spans="42:43" x14ac:dyDescent="0.25">
      <c r="AP187" s="36"/>
      <c r="AQ187" s="36"/>
    </row>
    <row r="188" spans="42:43" x14ac:dyDescent="0.25">
      <c r="AP188" s="36"/>
      <c r="AQ188" s="36"/>
    </row>
    <row r="189" spans="42:43" x14ac:dyDescent="0.25">
      <c r="AP189" s="36"/>
      <c r="AQ189" s="36"/>
    </row>
    <row r="190" spans="42:43" x14ac:dyDescent="0.25">
      <c r="AP190" s="36"/>
      <c r="AQ190" s="36"/>
    </row>
    <row r="191" spans="42:43" x14ac:dyDescent="0.25">
      <c r="AP191" s="36"/>
      <c r="AQ191" s="36"/>
    </row>
    <row r="192" spans="42:43" x14ac:dyDescent="0.25">
      <c r="AP192" s="36"/>
      <c r="AQ192" s="36"/>
    </row>
    <row r="193" spans="42:43" x14ac:dyDescent="0.25">
      <c r="AP193" s="36"/>
      <c r="AQ193" s="36"/>
    </row>
    <row r="194" spans="42:43" x14ac:dyDescent="0.25">
      <c r="AP194" s="36"/>
      <c r="AQ194" s="36"/>
    </row>
    <row r="195" spans="42:43" x14ac:dyDescent="0.25">
      <c r="AP195" s="36"/>
      <c r="AQ195" s="36"/>
    </row>
    <row r="196" spans="42:43" x14ac:dyDescent="0.25">
      <c r="AP196" s="36"/>
      <c r="AQ196" s="36"/>
    </row>
    <row r="197" spans="42:43" x14ac:dyDescent="0.25">
      <c r="AP197" s="36"/>
      <c r="AQ197" s="36"/>
    </row>
    <row r="198" spans="42:43" x14ac:dyDescent="0.25">
      <c r="AP198" s="36"/>
      <c r="AQ198" s="36"/>
    </row>
    <row r="199" spans="42:43" x14ac:dyDescent="0.25">
      <c r="AP199" s="36"/>
      <c r="AQ199" s="36"/>
    </row>
    <row r="200" spans="42:43" x14ac:dyDescent="0.25">
      <c r="AP200" s="36"/>
      <c r="AQ200" s="36"/>
    </row>
    <row r="201" spans="42:43" x14ac:dyDescent="0.25">
      <c r="AP201" s="36"/>
      <c r="AQ201" s="36"/>
    </row>
    <row r="202" spans="42:43" x14ac:dyDescent="0.25">
      <c r="AP202" s="36"/>
      <c r="AQ202" s="36"/>
    </row>
    <row r="203" spans="42:43" x14ac:dyDescent="0.25">
      <c r="AP203" s="36"/>
      <c r="AQ203" s="36"/>
    </row>
    <row r="204" spans="42:43" x14ac:dyDescent="0.25">
      <c r="AP204" s="36"/>
      <c r="AQ204" s="36"/>
    </row>
    <row r="205" spans="42:43" x14ac:dyDescent="0.25">
      <c r="AP205" s="36"/>
      <c r="AQ205" s="36"/>
    </row>
    <row r="206" spans="42:43" x14ac:dyDescent="0.25">
      <c r="AP206" s="36"/>
      <c r="AQ206" s="36"/>
    </row>
    <row r="207" spans="42:43" x14ac:dyDescent="0.25">
      <c r="AP207" s="36"/>
      <c r="AQ207" s="36"/>
    </row>
    <row r="208" spans="42:43" x14ac:dyDescent="0.25">
      <c r="AP208" s="36"/>
      <c r="AQ208" s="36"/>
    </row>
    <row r="209" spans="42:43" x14ac:dyDescent="0.25">
      <c r="AP209" s="36"/>
      <c r="AQ209" s="36"/>
    </row>
    <row r="210" spans="42:43" x14ac:dyDescent="0.25">
      <c r="AP210" s="36"/>
      <c r="AQ210" s="36"/>
    </row>
    <row r="211" spans="42:43" x14ac:dyDescent="0.25">
      <c r="AP211" s="36"/>
      <c r="AQ211" s="36"/>
    </row>
    <row r="212" spans="42:43" x14ac:dyDescent="0.25">
      <c r="AP212" s="36"/>
      <c r="AQ212" s="36"/>
    </row>
    <row r="213" spans="42:43" x14ac:dyDescent="0.25">
      <c r="AP213" s="36"/>
      <c r="AQ213" s="36"/>
    </row>
    <row r="214" spans="42:43" x14ac:dyDescent="0.25">
      <c r="AP214" s="36"/>
      <c r="AQ214" s="36"/>
    </row>
    <row r="215" spans="42:43" x14ac:dyDescent="0.25">
      <c r="AP215" s="36"/>
      <c r="AQ215" s="36"/>
    </row>
    <row r="216" spans="42:43" x14ac:dyDescent="0.25">
      <c r="AP216" s="36"/>
      <c r="AQ216" s="36"/>
    </row>
    <row r="217" spans="42:43" x14ac:dyDescent="0.25">
      <c r="AP217" s="36"/>
      <c r="AQ217" s="36"/>
    </row>
    <row r="218" spans="42:43" x14ac:dyDescent="0.25">
      <c r="AP218" s="36"/>
      <c r="AQ218" s="36"/>
    </row>
    <row r="219" spans="42:43" x14ac:dyDescent="0.25">
      <c r="AP219" s="36"/>
      <c r="AQ219" s="36"/>
    </row>
    <row r="220" spans="42:43" x14ac:dyDescent="0.25">
      <c r="AP220" s="36"/>
      <c r="AQ220" s="36"/>
    </row>
    <row r="221" spans="42:43" x14ac:dyDescent="0.25">
      <c r="AP221" s="36"/>
      <c r="AQ221" s="36"/>
    </row>
    <row r="222" spans="42:43" x14ac:dyDescent="0.25">
      <c r="AP222" s="36"/>
      <c r="AQ222" s="36"/>
    </row>
    <row r="223" spans="42:43" x14ac:dyDescent="0.25">
      <c r="AP223" s="36"/>
      <c r="AQ223" s="36"/>
    </row>
    <row r="224" spans="42:43" x14ac:dyDescent="0.25">
      <c r="AP224" s="36"/>
      <c r="AQ224" s="36"/>
    </row>
    <row r="225" spans="42:43" x14ac:dyDescent="0.25">
      <c r="AP225" s="36"/>
      <c r="AQ225" s="36"/>
    </row>
    <row r="226" spans="42:43" x14ac:dyDescent="0.25">
      <c r="AP226" s="36"/>
      <c r="AQ226" s="36"/>
    </row>
    <row r="227" spans="42:43" x14ac:dyDescent="0.25">
      <c r="AP227" s="36"/>
      <c r="AQ227" s="36"/>
    </row>
    <row r="228" spans="42:43" x14ac:dyDescent="0.25">
      <c r="AP228" s="36"/>
      <c r="AQ228" s="36"/>
    </row>
    <row r="229" spans="42:43" x14ac:dyDescent="0.25">
      <c r="AP229" s="36"/>
      <c r="AQ229" s="36"/>
    </row>
    <row r="230" spans="42:43" x14ac:dyDescent="0.25">
      <c r="AP230" s="36"/>
      <c r="AQ230" s="36"/>
    </row>
    <row r="231" spans="42:43" x14ac:dyDescent="0.25">
      <c r="AP231" s="36"/>
      <c r="AQ231" s="36"/>
    </row>
    <row r="232" spans="42:43" x14ac:dyDescent="0.25">
      <c r="AP232" s="36"/>
      <c r="AQ232" s="36"/>
    </row>
    <row r="233" spans="42:43" x14ac:dyDescent="0.25">
      <c r="AP233" s="36"/>
      <c r="AQ233" s="36"/>
    </row>
    <row r="234" spans="42:43" x14ac:dyDescent="0.25">
      <c r="AP234" s="36"/>
      <c r="AQ234" s="36"/>
    </row>
    <row r="235" spans="42:43" x14ac:dyDescent="0.25">
      <c r="AP235" s="36"/>
      <c r="AQ235" s="36"/>
    </row>
    <row r="236" spans="42:43" x14ac:dyDescent="0.25">
      <c r="AP236" s="36"/>
      <c r="AQ236" s="36"/>
    </row>
    <row r="237" spans="42:43" x14ac:dyDescent="0.25">
      <c r="AP237" s="36"/>
      <c r="AQ237" s="36"/>
    </row>
    <row r="238" spans="42:43" x14ac:dyDescent="0.25">
      <c r="AP238" s="36"/>
      <c r="AQ238" s="36"/>
    </row>
    <row r="239" spans="42:43" x14ac:dyDescent="0.25">
      <c r="AP239" s="36"/>
      <c r="AQ239" s="36"/>
    </row>
    <row r="240" spans="42:43" x14ac:dyDescent="0.25">
      <c r="AP240" s="36"/>
      <c r="AQ240" s="36"/>
    </row>
    <row r="241" spans="42:43" x14ac:dyDescent="0.25">
      <c r="AP241" s="36"/>
      <c r="AQ241" s="36"/>
    </row>
    <row r="242" spans="42:43" x14ac:dyDescent="0.25">
      <c r="AP242" s="36"/>
      <c r="AQ242" s="36"/>
    </row>
    <row r="243" spans="42:43" x14ac:dyDescent="0.25">
      <c r="AP243" s="36"/>
      <c r="AQ243" s="36"/>
    </row>
    <row r="244" spans="42:43" x14ac:dyDescent="0.25">
      <c r="AP244" s="36"/>
      <c r="AQ244" s="36"/>
    </row>
    <row r="245" spans="42:43" x14ac:dyDescent="0.25">
      <c r="AP245" s="36"/>
      <c r="AQ245" s="36"/>
    </row>
    <row r="246" spans="42:43" x14ac:dyDescent="0.25">
      <c r="AP246" s="36"/>
      <c r="AQ246" s="36"/>
    </row>
    <row r="247" spans="42:43" x14ac:dyDescent="0.25">
      <c r="AP247" s="36"/>
      <c r="AQ247" s="36"/>
    </row>
    <row r="248" spans="42:43" x14ac:dyDescent="0.25">
      <c r="AP248" s="36"/>
      <c r="AQ248" s="36"/>
    </row>
    <row r="249" spans="42:43" x14ac:dyDescent="0.25">
      <c r="AP249" s="36"/>
      <c r="AQ249" s="36"/>
    </row>
    <row r="250" spans="42:43" x14ac:dyDescent="0.25">
      <c r="AP250" s="36"/>
      <c r="AQ250" s="36"/>
    </row>
    <row r="251" spans="42:43" x14ac:dyDescent="0.25">
      <c r="AP251" s="36"/>
      <c r="AQ251" s="36"/>
    </row>
    <row r="252" spans="42:43" x14ac:dyDescent="0.25">
      <c r="AP252" s="36"/>
      <c r="AQ252" s="36"/>
    </row>
    <row r="253" spans="42:43" x14ac:dyDescent="0.25">
      <c r="AP253" s="36"/>
      <c r="AQ253" s="36"/>
    </row>
    <row r="254" spans="42:43" x14ac:dyDescent="0.25">
      <c r="AP254" s="36"/>
      <c r="AQ254" s="36"/>
    </row>
    <row r="255" spans="42:43" x14ac:dyDescent="0.25">
      <c r="AP255" s="36"/>
      <c r="AQ255" s="36"/>
    </row>
    <row r="256" spans="42:43" x14ac:dyDescent="0.25">
      <c r="AP256" s="36"/>
      <c r="AQ256" s="36"/>
    </row>
    <row r="257" spans="42:43" x14ac:dyDescent="0.25">
      <c r="AP257" s="36"/>
      <c r="AQ257" s="36"/>
    </row>
    <row r="258" spans="42:43" x14ac:dyDescent="0.25">
      <c r="AP258" s="36"/>
      <c r="AQ258" s="36"/>
    </row>
    <row r="259" spans="42:43" x14ac:dyDescent="0.25">
      <c r="AP259" s="36"/>
      <c r="AQ259" s="36"/>
    </row>
    <row r="260" spans="42:43" x14ac:dyDescent="0.25">
      <c r="AP260" s="36"/>
      <c r="AQ260" s="36"/>
    </row>
    <row r="261" spans="42:43" x14ac:dyDescent="0.25">
      <c r="AP261" s="36"/>
      <c r="AQ261" s="36"/>
    </row>
    <row r="262" spans="42:43" x14ac:dyDescent="0.25">
      <c r="AP262" s="36"/>
      <c r="AQ262" s="36"/>
    </row>
    <row r="263" spans="42:43" x14ac:dyDescent="0.25">
      <c r="AP263" s="36"/>
      <c r="AQ263" s="36"/>
    </row>
    <row r="264" spans="42:43" x14ac:dyDescent="0.25">
      <c r="AP264" s="36"/>
      <c r="AQ264" s="36"/>
    </row>
    <row r="265" spans="42:43" x14ac:dyDescent="0.25">
      <c r="AP265" s="36"/>
      <c r="AQ265" s="36"/>
    </row>
    <row r="266" spans="42:43" x14ac:dyDescent="0.25">
      <c r="AP266" s="36"/>
      <c r="AQ266" s="36"/>
    </row>
    <row r="267" spans="42:43" x14ac:dyDescent="0.25">
      <c r="AP267" s="36"/>
      <c r="AQ267" s="36"/>
    </row>
    <row r="268" spans="42:43" x14ac:dyDescent="0.25">
      <c r="AP268" s="36"/>
      <c r="AQ268" s="36"/>
    </row>
    <row r="269" spans="42:43" x14ac:dyDescent="0.25">
      <c r="AP269" s="36"/>
      <c r="AQ269" s="36"/>
    </row>
    <row r="270" spans="42:43" x14ac:dyDescent="0.25">
      <c r="AP270" s="36"/>
      <c r="AQ270" s="36"/>
    </row>
    <row r="271" spans="42:43" x14ac:dyDescent="0.25">
      <c r="AP271" s="36"/>
      <c r="AQ271" s="36"/>
    </row>
    <row r="272" spans="42:43" x14ac:dyDescent="0.25">
      <c r="AP272" s="36"/>
      <c r="AQ272" s="36"/>
    </row>
    <row r="273" spans="42:43" x14ac:dyDescent="0.25">
      <c r="AP273" s="36"/>
      <c r="AQ273" s="36"/>
    </row>
    <row r="274" spans="42:43" x14ac:dyDescent="0.25">
      <c r="AP274" s="36"/>
      <c r="AQ274" s="36"/>
    </row>
    <row r="275" spans="42:43" x14ac:dyDescent="0.25">
      <c r="AP275" s="36"/>
      <c r="AQ275" s="36"/>
    </row>
    <row r="276" spans="42:43" x14ac:dyDescent="0.25">
      <c r="AP276" s="36"/>
      <c r="AQ276" s="36"/>
    </row>
    <row r="277" spans="42:43" x14ac:dyDescent="0.25">
      <c r="AP277" s="36"/>
      <c r="AQ277" s="36"/>
    </row>
    <row r="278" spans="42:43" x14ac:dyDescent="0.25">
      <c r="AP278" s="36"/>
      <c r="AQ278" s="36"/>
    </row>
    <row r="279" spans="42:43" x14ac:dyDescent="0.25">
      <c r="AP279" s="36"/>
      <c r="AQ279" s="36"/>
    </row>
    <row r="280" spans="42:43" x14ac:dyDescent="0.25">
      <c r="AP280" s="36"/>
      <c r="AQ280" s="36"/>
    </row>
    <row r="281" spans="42:43" x14ac:dyDescent="0.25">
      <c r="AP281" s="36"/>
      <c r="AQ281" s="36"/>
    </row>
    <row r="282" spans="42:43" x14ac:dyDescent="0.25">
      <c r="AP282" s="36"/>
      <c r="AQ282" s="36"/>
    </row>
    <row r="283" spans="42:43" x14ac:dyDescent="0.25">
      <c r="AP283" s="36"/>
      <c r="AQ283" s="36"/>
    </row>
    <row r="284" spans="42:43" x14ac:dyDescent="0.25">
      <c r="AP284" s="36"/>
      <c r="AQ284" s="36"/>
    </row>
    <row r="285" spans="42:43" x14ac:dyDescent="0.25">
      <c r="AP285" s="36"/>
      <c r="AQ285" s="36"/>
    </row>
    <row r="286" spans="42:43" x14ac:dyDescent="0.25">
      <c r="AP286" s="36"/>
      <c r="AQ286" s="36"/>
    </row>
    <row r="287" spans="42:43" x14ac:dyDescent="0.25">
      <c r="AP287" s="36"/>
      <c r="AQ287" s="36"/>
    </row>
    <row r="288" spans="42:43" x14ac:dyDescent="0.25">
      <c r="AP288" s="36"/>
      <c r="AQ288" s="36"/>
    </row>
    <row r="289" spans="42:43" x14ac:dyDescent="0.25">
      <c r="AP289" s="36"/>
      <c r="AQ289" s="36"/>
    </row>
    <row r="290" spans="42:43" x14ac:dyDescent="0.25">
      <c r="AP290" s="36"/>
      <c r="AQ290" s="36"/>
    </row>
    <row r="291" spans="42:43" x14ac:dyDescent="0.25">
      <c r="AP291" s="36"/>
      <c r="AQ291" s="36"/>
    </row>
    <row r="292" spans="42:43" x14ac:dyDescent="0.25">
      <c r="AP292" s="36"/>
      <c r="AQ292" s="36"/>
    </row>
    <row r="293" spans="42:43" x14ac:dyDescent="0.25">
      <c r="AP293" s="36"/>
      <c r="AQ293" s="36"/>
    </row>
    <row r="294" spans="42:43" x14ac:dyDescent="0.25">
      <c r="AP294" s="36"/>
      <c r="AQ294" s="36"/>
    </row>
    <row r="295" spans="42:43" x14ac:dyDescent="0.25">
      <c r="AP295" s="36"/>
      <c r="AQ295" s="36"/>
    </row>
    <row r="296" spans="42:43" x14ac:dyDescent="0.25">
      <c r="AP296" s="36"/>
      <c r="AQ296" s="36"/>
    </row>
    <row r="297" spans="42:43" x14ac:dyDescent="0.25">
      <c r="AP297" s="36"/>
      <c r="AQ297" s="36"/>
    </row>
    <row r="298" spans="42:43" x14ac:dyDescent="0.25">
      <c r="AP298" s="36"/>
      <c r="AQ298" s="36"/>
    </row>
    <row r="299" spans="42:43" x14ac:dyDescent="0.25">
      <c r="AP299" s="36"/>
      <c r="AQ299" s="36"/>
    </row>
    <row r="300" spans="42:43" x14ac:dyDescent="0.25">
      <c r="AP300" s="36"/>
      <c r="AQ300" s="36"/>
    </row>
    <row r="301" spans="42:43" x14ac:dyDescent="0.25">
      <c r="AP301" s="36"/>
      <c r="AQ301" s="36"/>
    </row>
    <row r="302" spans="42:43" x14ac:dyDescent="0.25">
      <c r="AP302" s="36"/>
      <c r="AQ302" s="36"/>
    </row>
    <row r="303" spans="42:43" x14ac:dyDescent="0.25">
      <c r="AP303" s="36"/>
      <c r="AQ303" s="36"/>
    </row>
    <row r="304" spans="42:43" x14ac:dyDescent="0.25">
      <c r="AP304" s="36"/>
      <c r="AQ304" s="36"/>
    </row>
    <row r="305" spans="42:43" x14ac:dyDescent="0.25">
      <c r="AP305" s="36"/>
      <c r="AQ305" s="36"/>
    </row>
    <row r="306" spans="42:43" x14ac:dyDescent="0.25">
      <c r="AP306" s="36"/>
      <c r="AQ306" s="36"/>
    </row>
    <row r="307" spans="42:43" x14ac:dyDescent="0.25">
      <c r="AP307" s="36"/>
      <c r="AQ307" s="36"/>
    </row>
    <row r="308" spans="42:43" x14ac:dyDescent="0.25">
      <c r="AP308" s="36"/>
      <c r="AQ308" s="36"/>
    </row>
    <row r="309" spans="42:43" x14ac:dyDescent="0.25">
      <c r="AP309" s="36"/>
      <c r="AQ309" s="36"/>
    </row>
    <row r="310" spans="42:43" x14ac:dyDescent="0.25">
      <c r="AP310" s="36"/>
      <c r="AQ310" s="36"/>
    </row>
    <row r="311" spans="42:43" x14ac:dyDescent="0.25">
      <c r="AP311" s="36"/>
      <c r="AQ311" s="36"/>
    </row>
    <row r="312" spans="42:43" x14ac:dyDescent="0.25">
      <c r="AP312" s="36"/>
      <c r="AQ312" s="36"/>
    </row>
    <row r="313" spans="42:43" x14ac:dyDescent="0.25">
      <c r="AP313" s="36"/>
      <c r="AQ313" s="36"/>
    </row>
    <row r="314" spans="42:43" x14ac:dyDescent="0.25">
      <c r="AP314" s="36"/>
      <c r="AQ314" s="36"/>
    </row>
    <row r="315" spans="42:43" x14ac:dyDescent="0.25">
      <c r="AP315" s="36"/>
      <c r="AQ315" s="36"/>
    </row>
    <row r="316" spans="42:43" x14ac:dyDescent="0.25">
      <c r="AP316" s="36"/>
      <c r="AQ316" s="36"/>
    </row>
    <row r="317" spans="42:43" x14ac:dyDescent="0.25">
      <c r="AP317" s="36"/>
      <c r="AQ317" s="36"/>
    </row>
    <row r="318" spans="42:43" x14ac:dyDescent="0.25">
      <c r="AP318" s="36"/>
      <c r="AQ318" s="36"/>
    </row>
    <row r="319" spans="42:43" x14ac:dyDescent="0.25">
      <c r="AP319" s="36"/>
      <c r="AQ319" s="36"/>
    </row>
    <row r="320" spans="42:43" x14ac:dyDescent="0.25">
      <c r="AP320" s="36"/>
      <c r="AQ320" s="36"/>
    </row>
    <row r="321" spans="42:43" x14ac:dyDescent="0.25">
      <c r="AP321" s="36"/>
      <c r="AQ321" s="36"/>
    </row>
    <row r="322" spans="42:43" x14ac:dyDescent="0.25">
      <c r="AP322" s="36"/>
      <c r="AQ322" s="36"/>
    </row>
    <row r="323" spans="42:43" x14ac:dyDescent="0.25">
      <c r="AP323" s="36"/>
      <c r="AQ323" s="36"/>
    </row>
    <row r="324" spans="42:43" x14ac:dyDescent="0.25">
      <c r="AP324" s="36"/>
      <c r="AQ324" s="36"/>
    </row>
    <row r="325" spans="42:43" x14ac:dyDescent="0.25">
      <c r="AP325" s="36"/>
      <c r="AQ325" s="36"/>
    </row>
    <row r="326" spans="42:43" x14ac:dyDescent="0.25">
      <c r="AP326" s="36"/>
      <c r="AQ326" s="36"/>
    </row>
    <row r="327" spans="42:43" x14ac:dyDescent="0.25">
      <c r="AP327" s="36"/>
      <c r="AQ327" s="36"/>
    </row>
    <row r="328" spans="42:43" x14ac:dyDescent="0.25">
      <c r="AP328" s="36"/>
      <c r="AQ328" s="36"/>
    </row>
    <row r="329" spans="42:43" x14ac:dyDescent="0.25">
      <c r="AP329" s="36"/>
      <c r="AQ329" s="36"/>
    </row>
    <row r="330" spans="42:43" x14ac:dyDescent="0.25">
      <c r="AP330" s="36"/>
      <c r="AQ330" s="36"/>
    </row>
    <row r="331" spans="42:43" x14ac:dyDescent="0.25">
      <c r="AP331" s="36"/>
      <c r="AQ331" s="36"/>
    </row>
    <row r="332" spans="42:43" x14ac:dyDescent="0.25">
      <c r="AP332" s="36"/>
      <c r="AQ332" s="36"/>
    </row>
    <row r="333" spans="42:43" x14ac:dyDescent="0.25">
      <c r="AP333" s="36"/>
      <c r="AQ333" s="36"/>
    </row>
    <row r="334" spans="42:43" x14ac:dyDescent="0.25">
      <c r="AP334" s="36"/>
      <c r="AQ334" s="36"/>
    </row>
    <row r="335" spans="42:43" x14ac:dyDescent="0.25">
      <c r="AP335" s="36"/>
      <c r="AQ335" s="36"/>
    </row>
    <row r="336" spans="42:43" x14ac:dyDescent="0.25">
      <c r="AP336" s="36"/>
      <c r="AQ336" s="36"/>
    </row>
    <row r="337" spans="42:43" x14ac:dyDescent="0.25">
      <c r="AP337" s="36"/>
      <c r="AQ337" s="36"/>
    </row>
    <row r="338" spans="42:43" x14ac:dyDescent="0.25">
      <c r="AP338" s="36"/>
      <c r="AQ338" s="36"/>
    </row>
    <row r="339" spans="42:43" x14ac:dyDescent="0.25">
      <c r="AP339" s="36"/>
      <c r="AQ339" s="36"/>
    </row>
    <row r="340" spans="42:43" x14ac:dyDescent="0.25">
      <c r="AP340" s="36"/>
      <c r="AQ340" s="36"/>
    </row>
    <row r="341" spans="42:43" x14ac:dyDescent="0.25">
      <c r="AP341" s="36"/>
      <c r="AQ341" s="36"/>
    </row>
    <row r="342" spans="42:43" x14ac:dyDescent="0.25">
      <c r="AP342" s="36"/>
      <c r="AQ342" s="36"/>
    </row>
    <row r="343" spans="42:43" x14ac:dyDescent="0.25">
      <c r="AP343" s="36"/>
      <c r="AQ343" s="36"/>
    </row>
    <row r="344" spans="42:43" x14ac:dyDescent="0.25">
      <c r="AP344" s="36"/>
      <c r="AQ344" s="36"/>
    </row>
    <row r="345" spans="42:43" x14ac:dyDescent="0.25">
      <c r="AP345" s="36"/>
      <c r="AQ345" s="36"/>
    </row>
    <row r="346" spans="42:43" x14ac:dyDescent="0.25">
      <c r="AP346" s="36"/>
      <c r="AQ346" s="36"/>
    </row>
    <row r="347" spans="42:43" x14ac:dyDescent="0.25">
      <c r="AP347" s="36"/>
      <c r="AQ347" s="36"/>
    </row>
    <row r="348" spans="42:43" x14ac:dyDescent="0.25">
      <c r="AP348" s="36"/>
      <c r="AQ348" s="36"/>
    </row>
    <row r="349" spans="42:43" x14ac:dyDescent="0.25">
      <c r="AP349" s="36"/>
      <c r="AQ349" s="36"/>
    </row>
    <row r="350" spans="42:43" x14ac:dyDescent="0.25">
      <c r="AP350" s="36"/>
      <c r="AQ350" s="36"/>
    </row>
    <row r="351" spans="42:43" x14ac:dyDescent="0.25">
      <c r="AP351" s="36"/>
      <c r="AQ351" s="36"/>
    </row>
    <row r="352" spans="42:43" x14ac:dyDescent="0.25">
      <c r="AP352" s="36"/>
      <c r="AQ352" s="36"/>
    </row>
    <row r="353" spans="42:43" x14ac:dyDescent="0.25">
      <c r="AP353" s="36"/>
      <c r="AQ353" s="36"/>
    </row>
    <row r="354" spans="42:43" x14ac:dyDescent="0.25">
      <c r="AP354" s="36"/>
      <c r="AQ354" s="36"/>
    </row>
    <row r="355" spans="42:43" x14ac:dyDescent="0.25">
      <c r="AP355" s="36"/>
      <c r="AQ355" s="36"/>
    </row>
    <row r="356" spans="42:43" x14ac:dyDescent="0.25">
      <c r="AP356" s="36"/>
      <c r="AQ356" s="36"/>
    </row>
    <row r="357" spans="42:43" x14ac:dyDescent="0.25">
      <c r="AP357" s="36"/>
      <c r="AQ357" s="36"/>
    </row>
    <row r="358" spans="42:43" x14ac:dyDescent="0.25">
      <c r="AP358" s="36"/>
      <c r="AQ358" s="36"/>
    </row>
    <row r="359" spans="42:43" x14ac:dyDescent="0.25">
      <c r="AP359" s="36"/>
      <c r="AQ359" s="36"/>
    </row>
    <row r="360" spans="42:43" x14ac:dyDescent="0.25">
      <c r="AP360" s="36"/>
      <c r="AQ360" s="36"/>
    </row>
    <row r="361" spans="42:43" x14ac:dyDescent="0.25">
      <c r="AP361" s="36"/>
      <c r="AQ361" s="36"/>
    </row>
    <row r="362" spans="42:43" x14ac:dyDescent="0.25">
      <c r="AP362" s="36"/>
      <c r="AQ362" s="36"/>
    </row>
    <row r="363" spans="42:43" x14ac:dyDescent="0.25">
      <c r="AP363" s="36"/>
      <c r="AQ363" s="36"/>
    </row>
    <row r="364" spans="42:43" x14ac:dyDescent="0.25">
      <c r="AP364" s="36"/>
      <c r="AQ364" s="36"/>
    </row>
    <row r="365" spans="42:43" x14ac:dyDescent="0.25">
      <c r="AP365" s="36"/>
      <c r="AQ365" s="36"/>
    </row>
    <row r="366" spans="42:43" x14ac:dyDescent="0.25">
      <c r="AP366" s="36"/>
      <c r="AQ366" s="36"/>
    </row>
    <row r="367" spans="42:43" x14ac:dyDescent="0.25">
      <c r="AP367" s="36"/>
      <c r="AQ367" s="36"/>
    </row>
  </sheetData>
  <sheetProtection password="B321" sheet="1" objects="1" scenarios="1" selectLockedCells="1"/>
  <mergeCells count="592">
    <mergeCell ref="AS29:AS32"/>
    <mergeCell ref="AZ33:AZ36"/>
    <mergeCell ref="AR41:BH41"/>
    <mergeCell ref="BA37:BA40"/>
    <mergeCell ref="BB37:BB40"/>
    <mergeCell ref="BC37:BC40"/>
    <mergeCell ref="BD37:BD40"/>
    <mergeCell ref="BE37:BE40"/>
    <mergeCell ref="BF37:BF40"/>
    <mergeCell ref="BG37:BG40"/>
    <mergeCell ref="BH37:BH40"/>
    <mergeCell ref="AR37:AR40"/>
    <mergeCell ref="AS37:AS40"/>
    <mergeCell ref="AT37:AT40"/>
    <mergeCell ref="AU37:AU40"/>
    <mergeCell ref="AV37:AV40"/>
    <mergeCell ref="AW37:AW40"/>
    <mergeCell ref="AX37:AX40"/>
    <mergeCell ref="AY37:AY40"/>
    <mergeCell ref="AZ37:AZ40"/>
    <mergeCell ref="AX33:AX36"/>
    <mergeCell ref="AY33:AY36"/>
    <mergeCell ref="AU29:AU32"/>
    <mergeCell ref="AV29:AV32"/>
    <mergeCell ref="AW29:AW32"/>
    <mergeCell ref="AX29:AX32"/>
    <mergeCell ref="AY29:AY32"/>
    <mergeCell ref="AZ29:AZ32"/>
    <mergeCell ref="BA29:BA32"/>
    <mergeCell ref="BC21:BF21"/>
    <mergeCell ref="AT21:AW21"/>
    <mergeCell ref="AJ26:AJ27"/>
    <mergeCell ref="BB33:BB36"/>
    <mergeCell ref="AR27:BH27"/>
    <mergeCell ref="BA33:BA36"/>
    <mergeCell ref="BC33:BC36"/>
    <mergeCell ref="BD33:BD36"/>
    <mergeCell ref="BE33:BE36"/>
    <mergeCell ref="BF33:BF36"/>
    <mergeCell ref="BG33:BG36"/>
    <mergeCell ref="BH33:BH36"/>
    <mergeCell ref="AR29:AR32"/>
    <mergeCell ref="AR33:AR36"/>
    <mergeCell ref="AS33:AS36"/>
    <mergeCell ref="AT33:AT36"/>
    <mergeCell ref="AU33:AU36"/>
    <mergeCell ref="AV33:AV36"/>
    <mergeCell ref="AW33:AW36"/>
    <mergeCell ref="BB29:BB32"/>
    <mergeCell ref="BC29:BC32"/>
    <mergeCell ref="BD29:BD32"/>
    <mergeCell ref="BE29:BE32"/>
    <mergeCell ref="BF29:BF32"/>
    <mergeCell ref="BG29:BG32"/>
    <mergeCell ref="BH29:BH32"/>
    <mergeCell ref="B2:O2"/>
    <mergeCell ref="B5:C5"/>
    <mergeCell ref="D5:G5"/>
    <mergeCell ref="B8:C8"/>
    <mergeCell ref="D8:G8"/>
    <mergeCell ref="B9:C9"/>
    <mergeCell ref="D9:G9"/>
    <mergeCell ref="B10:C10"/>
    <mergeCell ref="AT29:AT32"/>
    <mergeCell ref="R3:Y3"/>
    <mergeCell ref="R5:T7"/>
    <mergeCell ref="R8:T10"/>
    <mergeCell ref="AB16:AF18"/>
    <mergeCell ref="E22:G24"/>
    <mergeCell ref="N22:O24"/>
    <mergeCell ref="R22:T24"/>
    <mergeCell ref="W22:X24"/>
    <mergeCell ref="N26:P26"/>
    <mergeCell ref="R26:T26"/>
    <mergeCell ref="W26:AE26"/>
    <mergeCell ref="B4:C4"/>
    <mergeCell ref="D4:G4"/>
    <mergeCell ref="AF26:AH26"/>
    <mergeCell ref="B14:C15"/>
    <mergeCell ref="AI26:AI27"/>
    <mergeCell ref="B28:B29"/>
    <mergeCell ref="C28:C29"/>
    <mergeCell ref="D28:D29"/>
    <mergeCell ref="E28:E29"/>
    <mergeCell ref="F28:F29"/>
    <mergeCell ref="G28:G29"/>
    <mergeCell ref="H28:H29"/>
    <mergeCell ref="I28:I29"/>
    <mergeCell ref="N28:N29"/>
    <mergeCell ref="Z28:Z29"/>
    <mergeCell ref="AA28:AA29"/>
    <mergeCell ref="AB28:AB29"/>
    <mergeCell ref="AC28:AC29"/>
    <mergeCell ref="O28:O29"/>
    <mergeCell ref="P28:P29"/>
    <mergeCell ref="R28:R29"/>
    <mergeCell ref="S28:S29"/>
    <mergeCell ref="T28:T29"/>
    <mergeCell ref="W28:W29"/>
    <mergeCell ref="P30:P31"/>
    <mergeCell ref="R30:R31"/>
    <mergeCell ref="S30:S31"/>
    <mergeCell ref="T30:T31"/>
    <mergeCell ref="W30:W31"/>
    <mergeCell ref="X30:X31"/>
    <mergeCell ref="AJ28:AJ29"/>
    <mergeCell ref="B30:B31"/>
    <mergeCell ref="C30:C31"/>
    <mergeCell ref="D30:D31"/>
    <mergeCell ref="G30:G31"/>
    <mergeCell ref="H30:H31"/>
    <mergeCell ref="I30:I31"/>
    <mergeCell ref="N30:N31"/>
    <mergeCell ref="O30:O31"/>
    <mergeCell ref="AD28:AD29"/>
    <mergeCell ref="AE28:AE29"/>
    <mergeCell ref="AF28:AF29"/>
    <mergeCell ref="AG28:AG29"/>
    <mergeCell ref="AH28:AH29"/>
    <mergeCell ref="AI28:AI29"/>
    <mergeCell ref="X28:X29"/>
    <mergeCell ref="Y28:Y29"/>
    <mergeCell ref="AE30:AE31"/>
    <mergeCell ref="AF30:AF31"/>
    <mergeCell ref="AG30:AG31"/>
    <mergeCell ref="AH30:AH31"/>
    <mergeCell ref="AI30:AI31"/>
    <mergeCell ref="AJ30:AJ31"/>
    <mergeCell ref="Y30:Y31"/>
    <mergeCell ref="Z30:Z31"/>
    <mergeCell ref="AA30:AA31"/>
    <mergeCell ref="AB30:AB31"/>
    <mergeCell ref="AC30:AC31"/>
    <mergeCell ref="AD30:AD31"/>
    <mergeCell ref="I32:I33"/>
    <mergeCell ref="N32:N33"/>
    <mergeCell ref="O32:O33"/>
    <mergeCell ref="P32:P33"/>
    <mergeCell ref="R32:R33"/>
    <mergeCell ref="S32:S33"/>
    <mergeCell ref="B32:B33"/>
    <mergeCell ref="C32:C33"/>
    <mergeCell ref="D32:D33"/>
    <mergeCell ref="G32:G33"/>
    <mergeCell ref="H32:H33"/>
    <mergeCell ref="R34:R35"/>
    <mergeCell ref="S34:S35"/>
    <mergeCell ref="T34:T35"/>
    <mergeCell ref="AH32:AH33"/>
    <mergeCell ref="AG34:AG35"/>
    <mergeCell ref="AH34:AH35"/>
    <mergeCell ref="AI32:AI33"/>
    <mergeCell ref="AJ32:AJ33"/>
    <mergeCell ref="B34:B35"/>
    <mergeCell ref="C34:C35"/>
    <mergeCell ref="D34:D35"/>
    <mergeCell ref="G34:G35"/>
    <mergeCell ref="H34:H35"/>
    <mergeCell ref="I34:I35"/>
    <mergeCell ref="AB32:AB33"/>
    <mergeCell ref="AC32:AC33"/>
    <mergeCell ref="AD32:AD33"/>
    <mergeCell ref="AE32:AE33"/>
    <mergeCell ref="AF32:AF33"/>
    <mergeCell ref="AG32:AG33"/>
    <mergeCell ref="T32:T33"/>
    <mergeCell ref="W32:W33"/>
    <mergeCell ref="X32:X33"/>
    <mergeCell ref="Y32:Y33"/>
    <mergeCell ref="Z32:Z33"/>
    <mergeCell ref="AA32:AA33"/>
    <mergeCell ref="AI34:AI35"/>
    <mergeCell ref="AJ34:AJ35"/>
    <mergeCell ref="AE34:AE35"/>
    <mergeCell ref="AF34:AF35"/>
    <mergeCell ref="B36:B37"/>
    <mergeCell ref="C36:C37"/>
    <mergeCell ref="D36:D37"/>
    <mergeCell ref="G36:G37"/>
    <mergeCell ref="H36:H37"/>
    <mergeCell ref="I36:I37"/>
    <mergeCell ref="N36:N37"/>
    <mergeCell ref="AC34:AC35"/>
    <mergeCell ref="AD34:AD35"/>
    <mergeCell ref="W34:W35"/>
    <mergeCell ref="X34:X35"/>
    <mergeCell ref="Y34:Y35"/>
    <mergeCell ref="Z34:Z35"/>
    <mergeCell ref="AA34:AA35"/>
    <mergeCell ref="AB34:AB35"/>
    <mergeCell ref="N34:N35"/>
    <mergeCell ref="O34:O35"/>
    <mergeCell ref="P34:P35"/>
    <mergeCell ref="AA36:AA37"/>
    <mergeCell ref="AB36:AB37"/>
    <mergeCell ref="AC36:AC37"/>
    <mergeCell ref="O36:O37"/>
    <mergeCell ref="P36:P37"/>
    <mergeCell ref="R36:R37"/>
    <mergeCell ref="S36:S37"/>
    <mergeCell ref="T36:T37"/>
    <mergeCell ref="W36:W37"/>
    <mergeCell ref="P38:P39"/>
    <mergeCell ref="R38:R39"/>
    <mergeCell ref="S38:S39"/>
    <mergeCell ref="T38:T39"/>
    <mergeCell ref="W38:W39"/>
    <mergeCell ref="X38:X39"/>
    <mergeCell ref="AJ36:AJ37"/>
    <mergeCell ref="B38:B39"/>
    <mergeCell ref="C38:C39"/>
    <mergeCell ref="D38:D39"/>
    <mergeCell ref="G38:G39"/>
    <mergeCell ref="H38:H39"/>
    <mergeCell ref="I38:I39"/>
    <mergeCell ref="N38:N39"/>
    <mergeCell ref="O38:O39"/>
    <mergeCell ref="AD36:AD37"/>
    <mergeCell ref="AE36:AE37"/>
    <mergeCell ref="AF36:AF37"/>
    <mergeCell ref="AG36:AG37"/>
    <mergeCell ref="AH36:AH37"/>
    <mergeCell ref="AI36:AI37"/>
    <mergeCell ref="X36:X37"/>
    <mergeCell ref="Y36:Y37"/>
    <mergeCell ref="Z36:Z37"/>
    <mergeCell ref="AE38:AE39"/>
    <mergeCell ref="AF38:AF39"/>
    <mergeCell ref="AG38:AG39"/>
    <mergeCell ref="AH38:AH39"/>
    <mergeCell ref="AI38:AI39"/>
    <mergeCell ref="AJ38:AJ39"/>
    <mergeCell ref="Z38:Z39"/>
    <mergeCell ref="AA38:AA39"/>
    <mergeCell ref="AB38:AB39"/>
    <mergeCell ref="AC38:AC39"/>
    <mergeCell ref="AD38:AD39"/>
    <mergeCell ref="AA40:AA41"/>
    <mergeCell ref="I40:I41"/>
    <mergeCell ref="N40:N41"/>
    <mergeCell ref="O40:O41"/>
    <mergeCell ref="P40:P41"/>
    <mergeCell ref="R40:R41"/>
    <mergeCell ref="S40:S41"/>
    <mergeCell ref="C40:C41"/>
    <mergeCell ref="D40:D41"/>
    <mergeCell ref="G40:G41"/>
    <mergeCell ref="H40:H41"/>
    <mergeCell ref="P42:P43"/>
    <mergeCell ref="R42:R43"/>
    <mergeCell ref="S42:S43"/>
    <mergeCell ref="T42:T43"/>
    <mergeCell ref="Y38:Y39"/>
    <mergeCell ref="AH40:AH41"/>
    <mergeCell ref="AI40:AI41"/>
    <mergeCell ref="AJ40:AJ41"/>
    <mergeCell ref="B42:B43"/>
    <mergeCell ref="C42:C43"/>
    <mergeCell ref="D42:D43"/>
    <mergeCell ref="G42:G43"/>
    <mergeCell ref="H42:H43"/>
    <mergeCell ref="I42:I43"/>
    <mergeCell ref="AB40:AB41"/>
    <mergeCell ref="AC40:AC41"/>
    <mergeCell ref="AD40:AD41"/>
    <mergeCell ref="AE40:AE41"/>
    <mergeCell ref="AF40:AF41"/>
    <mergeCell ref="AG40:AG41"/>
    <mergeCell ref="T40:T41"/>
    <mergeCell ref="W40:W41"/>
    <mergeCell ref="X40:X41"/>
    <mergeCell ref="Y40:Y41"/>
    <mergeCell ref="Z40:Z41"/>
    <mergeCell ref="AI42:AI43"/>
    <mergeCell ref="AJ42:AJ43"/>
    <mergeCell ref="AD42:AD43"/>
    <mergeCell ref="AE42:AE43"/>
    <mergeCell ref="H44:H45"/>
    <mergeCell ref="I44:I45"/>
    <mergeCell ref="N44:N45"/>
    <mergeCell ref="AC42:AC43"/>
    <mergeCell ref="N42:N43"/>
    <mergeCell ref="O42:O43"/>
    <mergeCell ref="Z44:Z45"/>
    <mergeCell ref="AA44:AA45"/>
    <mergeCell ref="AB44:AB45"/>
    <mergeCell ref="AC44:AC45"/>
    <mergeCell ref="O44:O45"/>
    <mergeCell ref="P44:P45"/>
    <mergeCell ref="R44:R45"/>
    <mergeCell ref="S44:S45"/>
    <mergeCell ref="T44:T45"/>
    <mergeCell ref="W44:W45"/>
    <mergeCell ref="AF42:AF43"/>
    <mergeCell ref="AG42:AG43"/>
    <mergeCell ref="AH42:AH43"/>
    <mergeCell ref="W42:W43"/>
    <mergeCell ref="X42:X43"/>
    <mergeCell ref="Y42:Y43"/>
    <mergeCell ref="Z42:Z43"/>
    <mergeCell ref="AA42:AA43"/>
    <mergeCell ref="AB42:AB43"/>
    <mergeCell ref="P46:P47"/>
    <mergeCell ref="R46:R47"/>
    <mergeCell ref="S46:S47"/>
    <mergeCell ref="T46:T47"/>
    <mergeCell ref="W46:W47"/>
    <mergeCell ref="X46:X47"/>
    <mergeCell ref="AJ44:AJ45"/>
    <mergeCell ref="B46:B47"/>
    <mergeCell ref="C46:C47"/>
    <mergeCell ref="D46:D47"/>
    <mergeCell ref="E46:E47"/>
    <mergeCell ref="G46:G47"/>
    <mergeCell ref="H46:H47"/>
    <mergeCell ref="I46:I47"/>
    <mergeCell ref="N46:N47"/>
    <mergeCell ref="O46:O47"/>
    <mergeCell ref="AD44:AD45"/>
    <mergeCell ref="AE44:AE45"/>
    <mergeCell ref="AF44:AF45"/>
    <mergeCell ref="AG44:AG45"/>
    <mergeCell ref="AH44:AH45"/>
    <mergeCell ref="AI44:AI45"/>
    <mergeCell ref="X44:X45"/>
    <mergeCell ref="Y44:Y45"/>
    <mergeCell ref="AE46:AE47"/>
    <mergeCell ref="AF46:AF47"/>
    <mergeCell ref="AG46:AG47"/>
    <mergeCell ref="AH46:AH47"/>
    <mergeCell ref="AI46:AI47"/>
    <mergeCell ref="AJ46:AJ47"/>
    <mergeCell ref="Y46:Y47"/>
    <mergeCell ref="Z46:Z47"/>
    <mergeCell ref="AA46:AA47"/>
    <mergeCell ref="AB46:AB47"/>
    <mergeCell ref="AC46:AC47"/>
    <mergeCell ref="AD46:AD47"/>
    <mergeCell ref="O48:O49"/>
    <mergeCell ref="P48:P49"/>
    <mergeCell ref="R48:R49"/>
    <mergeCell ref="S48:S49"/>
    <mergeCell ref="B48:B49"/>
    <mergeCell ref="C48:C49"/>
    <mergeCell ref="D48:D49"/>
    <mergeCell ref="E48:E49"/>
    <mergeCell ref="G48:G49"/>
    <mergeCell ref="H48:H49"/>
    <mergeCell ref="AH48:AH49"/>
    <mergeCell ref="AI48:AI49"/>
    <mergeCell ref="AJ48:AJ49"/>
    <mergeCell ref="B50:B51"/>
    <mergeCell ref="C50:C51"/>
    <mergeCell ref="D50:D51"/>
    <mergeCell ref="E50:E51"/>
    <mergeCell ref="G50:G51"/>
    <mergeCell ref="H50:H51"/>
    <mergeCell ref="I50:I51"/>
    <mergeCell ref="AB48:AB49"/>
    <mergeCell ref="AC48:AC49"/>
    <mergeCell ref="AD48:AD49"/>
    <mergeCell ref="AE48:AE49"/>
    <mergeCell ref="AF48:AF49"/>
    <mergeCell ref="AG48:AG49"/>
    <mergeCell ref="T48:T49"/>
    <mergeCell ref="W48:W49"/>
    <mergeCell ref="X48:X49"/>
    <mergeCell ref="Y48:Y49"/>
    <mergeCell ref="Z48:Z49"/>
    <mergeCell ref="AA48:AA49"/>
    <mergeCell ref="I48:I49"/>
    <mergeCell ref="N48:N49"/>
    <mergeCell ref="Y50:Y51"/>
    <mergeCell ref="Z50:Z51"/>
    <mergeCell ref="AA50:AA51"/>
    <mergeCell ref="AB50:AB51"/>
    <mergeCell ref="N50:N51"/>
    <mergeCell ref="O50:O51"/>
    <mergeCell ref="P50:P51"/>
    <mergeCell ref="R50:R51"/>
    <mergeCell ref="S50:S51"/>
    <mergeCell ref="T50:T51"/>
    <mergeCell ref="O52:O53"/>
    <mergeCell ref="P52:P53"/>
    <mergeCell ref="R52:R53"/>
    <mergeCell ref="S52:S53"/>
    <mergeCell ref="T52:T53"/>
    <mergeCell ref="W52:W53"/>
    <mergeCell ref="AI50:AI51"/>
    <mergeCell ref="AJ50:AJ51"/>
    <mergeCell ref="B52:B53"/>
    <mergeCell ref="C52:C53"/>
    <mergeCell ref="D52:D53"/>
    <mergeCell ref="E52:E53"/>
    <mergeCell ref="G52:G53"/>
    <mergeCell ref="H52:H53"/>
    <mergeCell ref="I52:I53"/>
    <mergeCell ref="N52:N53"/>
    <mergeCell ref="AC50:AC51"/>
    <mergeCell ref="AD50:AD51"/>
    <mergeCell ref="AE50:AE51"/>
    <mergeCell ref="AF50:AF51"/>
    <mergeCell ref="AG50:AG51"/>
    <mergeCell ref="AH50:AH51"/>
    <mergeCell ref="W50:W51"/>
    <mergeCell ref="X50:X51"/>
    <mergeCell ref="AF52:AF53"/>
    <mergeCell ref="AG52:AG53"/>
    <mergeCell ref="AH52:AH53"/>
    <mergeCell ref="AI52:AI53"/>
    <mergeCell ref="X52:X53"/>
    <mergeCell ref="Y52:Y53"/>
    <mergeCell ref="Z52:Z53"/>
    <mergeCell ref="AA52:AA53"/>
    <mergeCell ref="AB52:AB53"/>
    <mergeCell ref="AC52:AC53"/>
    <mergeCell ref="P54:P55"/>
    <mergeCell ref="R54:R55"/>
    <mergeCell ref="S54:S55"/>
    <mergeCell ref="T54:T55"/>
    <mergeCell ref="W54:W55"/>
    <mergeCell ref="X54:X55"/>
    <mergeCell ref="B54:B55"/>
    <mergeCell ref="C54:C55"/>
    <mergeCell ref="D54:D55"/>
    <mergeCell ref="E54:E55"/>
    <mergeCell ref="G54:G55"/>
    <mergeCell ref="H54:H55"/>
    <mergeCell ref="I54:I55"/>
    <mergeCell ref="N54:N55"/>
    <mergeCell ref="O54:O55"/>
    <mergeCell ref="AE54:AE55"/>
    <mergeCell ref="AF54:AF55"/>
    <mergeCell ref="AG54:AG55"/>
    <mergeCell ref="AH54:AH55"/>
    <mergeCell ref="AI54:AI55"/>
    <mergeCell ref="AJ54:AJ55"/>
    <mergeCell ref="Y54:Y55"/>
    <mergeCell ref="Z54:Z55"/>
    <mergeCell ref="AA54:AA55"/>
    <mergeCell ref="AB54:AB55"/>
    <mergeCell ref="AC54:AC55"/>
    <mergeCell ref="AD54:AD55"/>
    <mergeCell ref="H58:H59"/>
    <mergeCell ref="I58:I59"/>
    <mergeCell ref="AB56:AB57"/>
    <mergeCell ref="AC56:AC57"/>
    <mergeCell ref="T56:T57"/>
    <mergeCell ref="W56:W57"/>
    <mergeCell ref="X56:X57"/>
    <mergeCell ref="Y56:Y57"/>
    <mergeCell ref="Z56:Z57"/>
    <mergeCell ref="AA56:AA57"/>
    <mergeCell ref="I56:I57"/>
    <mergeCell ref="N56:N57"/>
    <mergeCell ref="O56:O57"/>
    <mergeCell ref="P56:P57"/>
    <mergeCell ref="R56:R57"/>
    <mergeCell ref="S56:S57"/>
    <mergeCell ref="H56:H57"/>
    <mergeCell ref="N58:N59"/>
    <mergeCell ref="O58:O59"/>
    <mergeCell ref="P58:P59"/>
    <mergeCell ref="R58:R59"/>
    <mergeCell ref="S58:S59"/>
    <mergeCell ref="T58:T59"/>
    <mergeCell ref="AH56:AH57"/>
    <mergeCell ref="AI56:AI57"/>
    <mergeCell ref="AJ56:AJ57"/>
    <mergeCell ref="AD56:AD57"/>
    <mergeCell ref="AE56:AE57"/>
    <mergeCell ref="AF56:AF57"/>
    <mergeCell ref="AG56:AG57"/>
    <mergeCell ref="O60:O61"/>
    <mergeCell ref="P60:P61"/>
    <mergeCell ref="R60:R61"/>
    <mergeCell ref="S60:S61"/>
    <mergeCell ref="T60:T61"/>
    <mergeCell ref="W60:W61"/>
    <mergeCell ref="AI58:AI59"/>
    <mergeCell ref="AJ58:AJ59"/>
    <mergeCell ref="B60:B61"/>
    <mergeCell ref="C60:C61"/>
    <mergeCell ref="D60:D61"/>
    <mergeCell ref="E60:E61"/>
    <mergeCell ref="G60:G61"/>
    <mergeCell ref="H60:H61"/>
    <mergeCell ref="I60:I61"/>
    <mergeCell ref="N60:N61"/>
    <mergeCell ref="AC58:AC59"/>
    <mergeCell ref="AD58:AD59"/>
    <mergeCell ref="AE58:AE59"/>
    <mergeCell ref="AF58:AF59"/>
    <mergeCell ref="AG58:AG59"/>
    <mergeCell ref="AH58:AH59"/>
    <mergeCell ref="W58:W59"/>
    <mergeCell ref="X58:X59"/>
    <mergeCell ref="Q2:Z2"/>
    <mergeCell ref="AE62:AE63"/>
    <mergeCell ref="AF62:AF63"/>
    <mergeCell ref="AG62:AG63"/>
    <mergeCell ref="AH62:AH63"/>
    <mergeCell ref="AI62:AI63"/>
    <mergeCell ref="AJ62:AJ63"/>
    <mergeCell ref="Y62:Y63"/>
    <mergeCell ref="Z62:Z63"/>
    <mergeCell ref="AA62:AA63"/>
    <mergeCell ref="AB62:AB63"/>
    <mergeCell ref="AC62:AC63"/>
    <mergeCell ref="AD62:AD63"/>
    <mergeCell ref="Z60:Z61"/>
    <mergeCell ref="AA60:AA61"/>
    <mergeCell ref="AB60:AB61"/>
    <mergeCell ref="AC60:AC61"/>
    <mergeCell ref="Y58:Y59"/>
    <mergeCell ref="Z58:Z59"/>
    <mergeCell ref="AA58:AA59"/>
    <mergeCell ref="AB58:AB59"/>
    <mergeCell ref="AJ52:AJ53"/>
    <mergeCell ref="AD52:AD53"/>
    <mergeCell ref="AE52:AE53"/>
    <mergeCell ref="P62:P63"/>
    <mergeCell ref="R62:R63"/>
    <mergeCell ref="S62:S63"/>
    <mergeCell ref="T62:T63"/>
    <mergeCell ref="W62:W63"/>
    <mergeCell ref="X62:X63"/>
    <mergeCell ref="AJ60:AJ61"/>
    <mergeCell ref="B62:B63"/>
    <mergeCell ref="C62:C63"/>
    <mergeCell ref="D62:D63"/>
    <mergeCell ref="E62:E63"/>
    <mergeCell ref="G62:G63"/>
    <mergeCell ref="H62:H63"/>
    <mergeCell ref="I62:I63"/>
    <mergeCell ref="N62:N63"/>
    <mergeCell ref="O62:O63"/>
    <mergeCell ref="AD60:AD61"/>
    <mergeCell ref="AE60:AE61"/>
    <mergeCell ref="AF60:AF61"/>
    <mergeCell ref="AG60:AG61"/>
    <mergeCell ref="AH60:AH61"/>
    <mergeCell ref="AI60:AI61"/>
    <mergeCell ref="X60:X61"/>
    <mergeCell ref="Y60:Y61"/>
    <mergeCell ref="N12:X17"/>
    <mergeCell ref="B11:C11"/>
    <mergeCell ref="D11:G11"/>
    <mergeCell ref="B12:C12"/>
    <mergeCell ref="D12:G12"/>
    <mergeCell ref="N5:P10"/>
    <mergeCell ref="B13:C13"/>
    <mergeCell ref="D13:G13"/>
    <mergeCell ref="B6:C6"/>
    <mergeCell ref="D6:G6"/>
    <mergeCell ref="B7:C7"/>
    <mergeCell ref="D7:E7"/>
    <mergeCell ref="F7:G7"/>
    <mergeCell ref="D14:G15"/>
    <mergeCell ref="G64:G65"/>
    <mergeCell ref="F64:F65"/>
    <mergeCell ref="F62:F63"/>
    <mergeCell ref="E56:E57"/>
    <mergeCell ref="G56:G57"/>
    <mergeCell ref="B16:C16"/>
    <mergeCell ref="D16:G16"/>
    <mergeCell ref="B17:C17"/>
    <mergeCell ref="D10:G10"/>
    <mergeCell ref="D17:G17"/>
    <mergeCell ref="B58:B59"/>
    <mergeCell ref="C58:C59"/>
    <mergeCell ref="D58:D59"/>
    <mergeCell ref="E58:E59"/>
    <mergeCell ref="G58:G59"/>
    <mergeCell ref="B56:B57"/>
    <mergeCell ref="C56:C57"/>
    <mergeCell ref="D56:D57"/>
    <mergeCell ref="B44:B45"/>
    <mergeCell ref="C44:C45"/>
    <mergeCell ref="D44:D45"/>
    <mergeCell ref="E44:E45"/>
    <mergeCell ref="G44:G45"/>
    <mergeCell ref="B40:B41"/>
    <mergeCell ref="F19:G19"/>
    <mergeCell ref="F20:G20"/>
    <mergeCell ref="E30:E31"/>
    <mergeCell ref="E32:E33"/>
    <mergeCell ref="E34:E35"/>
    <mergeCell ref="E36:E37"/>
    <mergeCell ref="E42:E43"/>
    <mergeCell ref="E38:E39"/>
    <mergeCell ref="E40:E41"/>
  </mergeCells>
  <conditionalFormatting sqref="N28:V61">
    <cfRule type="cellIs" dxfId="89" priority="70" operator="greaterThan">
      <formula>0</formula>
    </cfRule>
  </conditionalFormatting>
  <conditionalFormatting sqref="B26:AE26 B27:V27 AI26:AK27 G28:AK29 K62:AK62 J61:V61 J31:L31 J33:L33 J35:L35 J37:L37 J39:L39 J41:L41 J43:L43 J45:L45 J47:L47 J49:L49 J51:L51 J53:L53 J55:L55 J57:L57 J59:L59 B28:D63 G63:AK63 M30:V60 AF30:AK61 G62:I62 F30:I61">
    <cfRule type="cellIs" dxfId="88" priority="68" operator="equal">
      <formula>"NO APLICA"</formula>
    </cfRule>
    <cfRule type="cellIs" dxfId="87" priority="69" operator="equal">
      <formula>"NO APLICA"</formula>
    </cfRule>
  </conditionalFormatting>
  <conditionalFormatting sqref="W27:AE27">
    <cfRule type="cellIs" dxfId="86" priority="66" operator="equal">
      <formula>"NO APLICA"</formula>
    </cfRule>
    <cfRule type="cellIs" dxfId="85" priority="67" operator="equal">
      <formula>"NO APLICA"</formula>
    </cfRule>
  </conditionalFormatting>
  <conditionalFormatting sqref="AF26 AF27:AH27">
    <cfRule type="cellIs" dxfId="84" priority="64" operator="equal">
      <formula>"NO APLICA"</formula>
    </cfRule>
    <cfRule type="cellIs" dxfId="83" priority="65" operator="equal">
      <formula>"NO APLICA"</formula>
    </cfRule>
  </conditionalFormatting>
  <conditionalFormatting sqref="AI28:AI61">
    <cfRule type="cellIs" dxfId="82" priority="63" operator="equal">
      <formula>"FALTAN DATOS"</formula>
    </cfRule>
  </conditionalFormatting>
  <conditionalFormatting sqref="F28:F29">
    <cfRule type="cellIs" dxfId="81" priority="61" operator="equal">
      <formula>"NO APLICA"</formula>
    </cfRule>
    <cfRule type="cellIs" dxfId="80" priority="62" operator="equal">
      <formula>"NO APLICA"</formula>
    </cfRule>
  </conditionalFormatting>
  <conditionalFormatting sqref="C30:D63">
    <cfRule type="cellIs" dxfId="79" priority="57" operator="equal">
      <formula>"no aplica"</formula>
    </cfRule>
    <cfRule type="cellIs" dxfId="78" priority="58" operator="equal">
      <formula>"no aplica"</formula>
    </cfRule>
    <cfRule type="cellIs" dxfId="77" priority="59" operator="equal">
      <formula>"no aplica"</formula>
    </cfRule>
    <cfRule type="cellIs" dxfId="76" priority="60" operator="equal">
      <formula>"No aplica"</formula>
    </cfRule>
  </conditionalFormatting>
  <conditionalFormatting sqref="F28:T28 J61:T61 J29:T29 J31:L31 J33:L33 J35:L35 J37:L37 J39:L39 J41:L41 J43:L43 J45:L45 J47:L47 J49:L49 J51:L51 J53:L53 J55:L55 M30:T60 J57:L57 J59:L59 F29:I61">
    <cfRule type="cellIs" dxfId="75" priority="56" operator="equal">
      <formula>"no aplica"</formula>
    </cfRule>
  </conditionalFormatting>
  <conditionalFormatting sqref="W28:AK29 AF30:AK61">
    <cfRule type="cellIs" dxfId="74" priority="55" operator="equal">
      <formula>"no aplica"</formula>
    </cfRule>
  </conditionalFormatting>
  <conditionalFormatting sqref="N22:O24">
    <cfRule type="cellIs" dxfId="73" priority="54" operator="equal">
      <formula>"FALTAN DATOS"</formula>
    </cfRule>
  </conditionalFormatting>
  <conditionalFormatting sqref="W22:X24">
    <cfRule type="cellIs" dxfId="72" priority="53" operator="equal">
      <formula>"FALTAN DATOS"</formula>
    </cfRule>
  </conditionalFormatting>
  <conditionalFormatting sqref="BB45:BC55">
    <cfRule type="colorScale" priority="48">
      <colorScale>
        <cfvo type="min"/>
        <cfvo type="percentile" val="50"/>
        <cfvo type="max"/>
        <color rgb="FFF8696B"/>
        <color rgb="FFFFEB84"/>
        <color rgb="FF63BE7B"/>
      </colorScale>
    </cfRule>
  </conditionalFormatting>
  <conditionalFormatting sqref="AS28:BH28">
    <cfRule type="cellIs" dxfId="71" priority="34" operator="equal">
      <formula>"s/n"</formula>
    </cfRule>
    <cfRule type="cellIs" dxfId="70" priority="35" operator="equal">
      <formula>"final"</formula>
    </cfRule>
    <cfRule type="cellIs" dxfId="69" priority="46" operator="equal">
      <formula>"Final"</formula>
    </cfRule>
    <cfRule type="cellIs" dxfId="68" priority="47" operator="equal">
      <formula>"s/n"</formula>
    </cfRule>
  </conditionalFormatting>
  <conditionalFormatting sqref="AS37:BH37 AS33:BH33 AS29:BH29">
    <cfRule type="cellIs" dxfId="67" priority="78" operator="equal">
      <formula>"no aplica"</formula>
    </cfRule>
    <cfRule type="colorScale" priority="79">
      <colorScale>
        <cfvo type="min"/>
        <cfvo type="percentile" val="50"/>
        <cfvo type="max"/>
        <color rgb="FFF8696B"/>
        <color rgb="FFFFEB84"/>
        <color rgb="FF63BE7B"/>
      </colorScale>
    </cfRule>
  </conditionalFormatting>
  <conditionalFormatting sqref="AR27">
    <cfRule type="cellIs" dxfId="66" priority="36" operator="equal">
      <formula>"NO APLICA"</formula>
    </cfRule>
    <cfRule type="cellIs" dxfId="65" priority="37" operator="equal">
      <formula>"NO APLICA"</formula>
    </cfRule>
  </conditionalFormatting>
  <conditionalFormatting sqref="E44:E63">
    <cfRule type="cellIs" dxfId="64" priority="22" operator="equal">
      <formula>"NO APLICA"</formula>
    </cfRule>
    <cfRule type="cellIs" dxfId="63" priority="23" operator="equal">
      <formula>"NO APLICA"</formula>
    </cfRule>
  </conditionalFormatting>
  <conditionalFormatting sqref="E28:E31 E42:E43 E38:E39 E34:E35">
    <cfRule type="cellIs" dxfId="62" priority="20" operator="equal">
      <formula>"NO APLICA"</formula>
    </cfRule>
    <cfRule type="cellIs" dxfId="61" priority="21" operator="equal">
      <formula>"NO APLICA"</formula>
    </cfRule>
  </conditionalFormatting>
  <conditionalFormatting sqref="E40:E41">
    <cfRule type="cellIs" dxfId="60" priority="18" operator="equal">
      <formula>"NO APLICA"</formula>
    </cfRule>
    <cfRule type="cellIs" dxfId="59" priority="19" operator="equal">
      <formula>"NO APLICA"</formula>
    </cfRule>
  </conditionalFormatting>
  <conditionalFormatting sqref="E36:E37">
    <cfRule type="cellIs" dxfId="58" priority="16" operator="equal">
      <formula>"NO APLICA"</formula>
    </cfRule>
    <cfRule type="cellIs" dxfId="57" priority="17" operator="equal">
      <formula>"NO APLICA"</formula>
    </cfRule>
  </conditionalFormatting>
  <conditionalFormatting sqref="E32:E33">
    <cfRule type="cellIs" dxfId="56" priority="14" operator="equal">
      <formula>"NO APLICA"</formula>
    </cfRule>
    <cfRule type="cellIs" dxfId="55" priority="15" operator="equal">
      <formula>"NO APLICA"</formula>
    </cfRule>
  </conditionalFormatting>
  <conditionalFormatting sqref="AC30:AE41 W42:AE61">
    <cfRule type="cellIs" dxfId="54" priority="12" operator="equal">
      <formula>"NO APLICA"</formula>
    </cfRule>
    <cfRule type="cellIs" dxfId="53" priority="13" operator="equal">
      <formula>"NO APLICA"</formula>
    </cfRule>
  </conditionalFormatting>
  <conditionalFormatting sqref="W42:AE61 AC30:AE41">
    <cfRule type="cellIs" dxfId="52" priority="11" operator="equal">
      <formula>"no aplica"</formula>
    </cfRule>
  </conditionalFormatting>
  <conditionalFormatting sqref="W30:AB41">
    <cfRule type="cellIs" dxfId="51" priority="9" operator="equal">
      <formula>"NO APLICA"</formula>
    </cfRule>
    <cfRule type="cellIs" dxfId="50" priority="10" operator="equal">
      <formula>"NO APLICA"</formula>
    </cfRule>
  </conditionalFormatting>
  <conditionalFormatting sqref="F62">
    <cfRule type="cellIs" dxfId="49" priority="7" operator="equal">
      <formula>"NO APLICA"</formula>
    </cfRule>
    <cfRule type="cellIs" dxfId="48" priority="8" operator="equal">
      <formula>"NO APLICA"</formula>
    </cfRule>
  </conditionalFormatting>
  <conditionalFormatting sqref="G62:G63">
    <cfRule type="cellIs" dxfId="47" priority="6" operator="equal">
      <formula>"NO APLICA"</formula>
    </cfRule>
  </conditionalFormatting>
  <conditionalFormatting sqref="G64:G65">
    <cfRule type="cellIs" dxfId="46" priority="4" operator="equal">
      <formula>"NO APLICA"</formula>
    </cfRule>
    <cfRule type="cellIs" dxfId="45" priority="5" operator="equal">
      <formula>"NO APLICA"</formula>
    </cfRule>
  </conditionalFormatting>
  <conditionalFormatting sqref="G64:G65">
    <cfRule type="cellIs" dxfId="44" priority="3" operator="equal">
      <formula>"NO APLICA"</formula>
    </cfRule>
  </conditionalFormatting>
  <conditionalFormatting sqref="F64">
    <cfRule type="cellIs" dxfId="43" priority="1" operator="equal">
      <formula>"NO APLICA"</formula>
    </cfRule>
    <cfRule type="cellIs" dxfId="42" priority="2" operator="equal">
      <formula>"NO APLICA"</formula>
    </cfRule>
  </conditionalFormatting>
  <dataValidations count="2">
    <dataValidation type="list" allowBlank="1" showInputMessage="1" showErrorMessage="1" promptTitle="Especificar tipo de molinete" sqref="D16:G16">
      <formula1>Tipo_molinete</formula1>
    </dataValidation>
    <dataValidation type="list" allowBlank="1" showInputMessage="1" showErrorMessage="1" sqref="F7:G7">
      <formula1>$W$5:$W$7</formula1>
    </dataValidation>
  </dataValidations>
  <pageMargins left="0.7" right="0.7" top="0.75" bottom="0.75" header="0.3" footer="0.3"/>
  <pageSetup orientation="portrait" horizontalDpi="0" verticalDpi="0"/>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autoPageBreaks="0"/>
  </sheetPr>
  <dimension ref="A1:P34"/>
  <sheetViews>
    <sheetView topLeftCell="F1" workbookViewId="0">
      <selection activeCell="K32" sqref="K32"/>
    </sheetView>
  </sheetViews>
  <sheetFormatPr baseColWidth="10" defaultRowHeight="15" x14ac:dyDescent="0.25"/>
  <cols>
    <col min="1" max="4" width="0" style="158" hidden="1" customWidth="1"/>
    <col min="5" max="5" width="9.85546875" style="158" hidden="1" customWidth="1"/>
    <col min="6" max="6" width="3.7109375" style="158" customWidth="1"/>
    <col min="7" max="10" width="14.28515625" customWidth="1"/>
    <col min="12" max="15" width="14.28515625" customWidth="1"/>
  </cols>
  <sheetData>
    <row r="1" spans="1:16" s="158" customFormat="1" x14ac:dyDescent="0.25">
      <c r="F1" s="150"/>
      <c r="G1" s="151"/>
      <c r="H1" s="151"/>
      <c r="I1" s="151"/>
      <c r="J1" s="151"/>
      <c r="K1" s="151"/>
      <c r="L1" s="151"/>
      <c r="M1" s="151"/>
      <c r="N1" s="151"/>
      <c r="O1" s="151"/>
      <c r="P1" s="152"/>
    </row>
    <row r="2" spans="1:16" x14ac:dyDescent="0.25">
      <c r="F2" s="153"/>
      <c r="G2" s="352" t="s">
        <v>135</v>
      </c>
      <c r="H2" s="353"/>
      <c r="I2" s="353"/>
      <c r="J2" s="354"/>
      <c r="K2" s="146"/>
      <c r="L2" s="352" t="s">
        <v>144</v>
      </c>
      <c r="M2" s="353"/>
      <c r="N2" s="353"/>
      <c r="O2" s="354"/>
      <c r="P2" s="154"/>
    </row>
    <row r="3" spans="1:16" x14ac:dyDescent="0.25">
      <c r="A3" s="158" t="s">
        <v>120</v>
      </c>
      <c r="B3" s="158" t="s">
        <v>121</v>
      </c>
      <c r="C3" s="158" t="s">
        <v>145</v>
      </c>
      <c r="D3" s="158" t="s">
        <v>146</v>
      </c>
      <c r="E3" s="158" t="s">
        <v>147</v>
      </c>
      <c r="F3" s="153"/>
      <c r="G3" s="146"/>
      <c r="H3" s="146"/>
      <c r="I3" s="146"/>
      <c r="J3" s="146"/>
      <c r="K3" s="146"/>
      <c r="L3" s="146"/>
      <c r="M3" s="146"/>
      <c r="N3" s="146"/>
      <c r="O3" s="146"/>
      <c r="P3" s="154"/>
    </row>
    <row r="4" spans="1:16" x14ac:dyDescent="0.25">
      <c r="A4" s="158">
        <f>+IF('Cálculo Aforo'!C22&gt;0,0,"")</f>
        <v>0</v>
      </c>
      <c r="B4" s="158">
        <f>+IF('Cálculo Aforo'!C22&gt;0,0,"")</f>
        <v>0</v>
      </c>
      <c r="D4" s="158">
        <v>0</v>
      </c>
      <c r="E4" s="158">
        <v>1.792E-6</v>
      </c>
      <c r="F4" s="153"/>
      <c r="G4" s="355"/>
      <c r="H4" s="355"/>
      <c r="I4" s="355"/>
      <c r="J4" s="355"/>
      <c r="K4" s="146"/>
      <c r="L4" s="355"/>
      <c r="M4" s="355"/>
      <c r="N4" s="355"/>
      <c r="O4" s="355"/>
      <c r="P4" s="154"/>
    </row>
    <row r="5" spans="1:16" x14ac:dyDescent="0.25">
      <c r="A5" s="158">
        <f>+IF(ISNUMBER(A4),0,"")</f>
        <v>0</v>
      </c>
      <c r="B5" s="158">
        <f>+IF(ISNUMBER(A4),'Cálculo Aforo'!E28,"")</f>
        <v>0.45</v>
      </c>
      <c r="C5" s="158">
        <f>+IF(ISNUMBER(A5),SQRT((A5-A4)^2+(B5-B4)^2),"")</f>
        <v>0.45</v>
      </c>
      <c r="D5" s="158">
        <v>1</v>
      </c>
      <c r="E5" s="158">
        <v>1.7319999999999999E-6</v>
      </c>
      <c r="F5" s="153"/>
      <c r="G5" s="355"/>
      <c r="H5" s="355"/>
      <c r="I5" s="355"/>
      <c r="J5" s="355"/>
      <c r="K5" s="146"/>
      <c r="L5" s="355"/>
      <c r="M5" s="355"/>
      <c r="N5" s="355"/>
      <c r="O5" s="355"/>
      <c r="P5" s="154"/>
    </row>
    <row r="6" spans="1:16" x14ac:dyDescent="0.25">
      <c r="A6" s="158">
        <f>+IF(ISNUMBER('Cálculo Aforo'!D30),'Cálculo Aforo'!D30,IF(A5&gt;A3,A5,""))</f>
        <v>0.11</v>
      </c>
      <c r="B6" s="158">
        <f>+IF(ISNUMBER('Cálculo Aforo'!D30),'Cálculo Aforo'!E30,IF(ISNUMBER(A6),IF(A6=A5,0,""),""))</f>
        <v>0.46</v>
      </c>
      <c r="C6" s="158">
        <f t="shared" ref="C6:C23" si="0">+IF(ISNUMBER(A6),SQRT((A6-A5)^2+(B6-B5)^2),"")</f>
        <v>0.11045361017187261</v>
      </c>
      <c r="D6" s="158">
        <v>2</v>
      </c>
      <c r="E6" s="158">
        <v>1.6739999999999998E-6</v>
      </c>
      <c r="F6" s="153"/>
      <c r="G6" s="355"/>
      <c r="H6" s="355"/>
      <c r="I6" s="355"/>
      <c r="J6" s="355"/>
      <c r="K6" s="146"/>
      <c r="L6" s="355"/>
      <c r="M6" s="355"/>
      <c r="N6" s="355"/>
      <c r="O6" s="355"/>
      <c r="P6" s="154"/>
    </row>
    <row r="7" spans="1:16" x14ac:dyDescent="0.25">
      <c r="A7" s="158">
        <f>+IF(ISNUMBER('Cálculo Aforo'!D32),'Cálculo Aforo'!D32,IF(A6&gt;A5,A6,""))</f>
        <v>0.33</v>
      </c>
      <c r="B7" s="158">
        <f>+IF(ISNUMBER('Cálculo Aforo'!D32),'Cálculo Aforo'!E32,IF(ISNUMBER(A7),IF(A7=A6,0,""),""))</f>
        <v>0.46</v>
      </c>
      <c r="C7" s="158">
        <f t="shared" si="0"/>
        <v>0.22000000000000003</v>
      </c>
      <c r="D7" s="158">
        <v>3</v>
      </c>
      <c r="E7" s="158">
        <v>1.6189999999999999E-6</v>
      </c>
      <c r="F7" s="153"/>
      <c r="G7" s="355"/>
      <c r="H7" s="355"/>
      <c r="I7" s="355"/>
      <c r="J7" s="355"/>
      <c r="K7" s="146"/>
      <c r="L7" s="355"/>
      <c r="M7" s="355"/>
      <c r="N7" s="355"/>
      <c r="O7" s="355"/>
      <c r="P7" s="154"/>
    </row>
    <row r="8" spans="1:16" x14ac:dyDescent="0.25">
      <c r="A8" s="158">
        <f>+IF(ISNUMBER('Cálculo Aforo'!D34),'Cálculo Aforo'!D34,IF(A7&gt;A6,A7,""))</f>
        <v>0.55000000000000004</v>
      </c>
      <c r="B8" s="158">
        <f>+IF(ISNUMBER('Cálculo Aforo'!D34),'Cálculo Aforo'!E34,IF(ISNUMBER(A8),IF(A8=A7,0,""),""))</f>
        <v>0.46</v>
      </c>
      <c r="C8" s="158">
        <f t="shared" si="0"/>
        <v>0.22000000000000003</v>
      </c>
      <c r="D8" s="158">
        <v>4</v>
      </c>
      <c r="E8" s="158">
        <v>1.5680000000000001E-6</v>
      </c>
      <c r="F8" s="153"/>
      <c r="G8" s="146"/>
      <c r="H8" s="146"/>
      <c r="I8" s="146"/>
      <c r="J8" s="146"/>
      <c r="K8" s="146"/>
      <c r="L8" s="146"/>
      <c r="M8" s="146"/>
      <c r="N8" s="146"/>
      <c r="O8" s="146"/>
      <c r="P8" s="154"/>
    </row>
    <row r="9" spans="1:16" ht="17.25" x14ac:dyDescent="0.25">
      <c r="A9" s="158">
        <f>+IF(ISNUMBER('Cálculo Aforo'!D36),'Cálculo Aforo'!D36,IF(A8&gt;A7,A8,""))</f>
        <v>0.76</v>
      </c>
      <c r="B9" s="158">
        <f>+IF(ISNUMBER('Cálculo Aforo'!D36),'Cálculo Aforo'!E36,IF(ISNUMBER(A9),IF(A9=A8,0,""),""))</f>
        <v>0.46</v>
      </c>
      <c r="C9" s="158">
        <f t="shared" si="0"/>
        <v>0.20999999999999996</v>
      </c>
      <c r="D9" s="158">
        <v>5</v>
      </c>
      <c r="E9" s="158">
        <v>1.5189999999999998E-6</v>
      </c>
      <c r="F9" s="153"/>
      <c r="G9" s="351" t="s">
        <v>136</v>
      </c>
      <c r="H9" s="351"/>
      <c r="I9" s="186">
        <f>+IF(ISNUMBER('Cálculo Aforo'!G62),'Cálculo Aforo'!G62,"")</f>
        <v>0.60205000000000009</v>
      </c>
      <c r="J9" s="187" t="s">
        <v>150</v>
      </c>
      <c r="K9" s="146"/>
      <c r="L9" s="356" t="s">
        <v>146</v>
      </c>
      <c r="M9" s="357"/>
      <c r="N9" s="195">
        <v>20</v>
      </c>
      <c r="O9" s="191" t="s">
        <v>148</v>
      </c>
      <c r="P9" s="154"/>
    </row>
    <row r="10" spans="1:16" x14ac:dyDescent="0.25">
      <c r="A10" s="158">
        <f>+IF(ISNUMBER('Cálculo Aforo'!D38),'Cálculo Aforo'!D38,IF(A9&gt;A8,A9,""))</f>
        <v>0.98</v>
      </c>
      <c r="B10" s="158">
        <f>+IF(ISNUMBER('Cálculo Aforo'!D38),'Cálculo Aforo'!E38,IF(ISNUMBER(A10),IF(A10=A9,0,""),""))</f>
        <v>0.46</v>
      </c>
      <c r="C10" s="158">
        <f t="shared" si="0"/>
        <v>0.21999999999999997</v>
      </c>
      <c r="D10" s="158">
        <v>6</v>
      </c>
      <c r="E10" s="158">
        <v>1.4729999999999999E-6</v>
      </c>
      <c r="F10" s="153"/>
      <c r="G10" s="351" t="s">
        <v>137</v>
      </c>
      <c r="H10" s="351"/>
      <c r="I10" s="188">
        <f>+IF(ISNUMBER('Cálculo Aforo'!G62),SUM(Hidráulica!C5:C23),"")</f>
        <v>2.2204536101718726</v>
      </c>
      <c r="J10" s="187" t="s">
        <v>105</v>
      </c>
      <c r="K10" s="146"/>
      <c r="L10" s="356" t="s">
        <v>144</v>
      </c>
      <c r="M10" s="357"/>
      <c r="N10" s="192">
        <f>+IF(AND(ISNUMBER('Cálculo Aforo'!G64),ISNUMBER(I12),ISNUMBER(N9)),('Cálculo Aforo'!G64*4*I12)/LOOKUP(Hidráulica!N9,Hidráulica!D4:D34,Hidráulica!E4:E34),"FALTAN DATOS")</f>
        <v>996917.7101377385</v>
      </c>
      <c r="O10" s="193" t="s">
        <v>149</v>
      </c>
      <c r="P10" s="154"/>
    </row>
    <row r="11" spans="1:16" x14ac:dyDescent="0.25">
      <c r="A11" s="158">
        <f>+IF(ISNUMBER('Cálculo Aforo'!D40),'Cálculo Aforo'!D40,IF(A10&gt;A9,A10,""))</f>
        <v>1.2</v>
      </c>
      <c r="B11" s="158">
        <f>+IF(ISNUMBER('Cálculo Aforo'!D40),'Cálculo Aforo'!E40,IF(ISNUMBER(A11),IF(A11=A10,0,""),""))</f>
        <v>0.46</v>
      </c>
      <c r="C11" s="158">
        <f t="shared" si="0"/>
        <v>0.21999999999999997</v>
      </c>
      <c r="D11" s="158">
        <v>7</v>
      </c>
      <c r="E11" s="158">
        <v>1.429E-6</v>
      </c>
      <c r="F11" s="153"/>
      <c r="G11" s="351" t="s">
        <v>138</v>
      </c>
      <c r="H11" s="351"/>
      <c r="I11" s="188">
        <f>+IF(AND(ISNUMBER(I10),ISNUMBER(I13)),I10+I13,"")</f>
        <v>3.5304536101718726</v>
      </c>
      <c r="J11" s="187" t="s">
        <v>105</v>
      </c>
      <c r="K11" s="146"/>
      <c r="L11" s="146"/>
      <c r="M11" s="146"/>
      <c r="N11" s="146"/>
      <c r="O11" s="146"/>
      <c r="P11" s="154"/>
    </row>
    <row r="12" spans="1:16" x14ac:dyDescent="0.25">
      <c r="A12" s="158">
        <f>+IF(ISNUMBER('Cálculo Aforo'!D42),'Cálculo Aforo'!D42,IF(A11&gt;A10,A11,""))</f>
        <v>1.31</v>
      </c>
      <c r="B12" s="158">
        <f>+IF(ISNUMBER('Cálculo Aforo'!D42),'Cálculo Aforo'!E42,IF(ISNUMBER(A12),IF(A12=A11,0,""),""))</f>
        <v>0.46</v>
      </c>
      <c r="C12" s="158">
        <f t="shared" si="0"/>
        <v>0.1100000000000001</v>
      </c>
      <c r="D12" s="158">
        <v>8</v>
      </c>
      <c r="E12" s="158">
        <v>1.387E-6</v>
      </c>
      <c r="F12" s="153"/>
      <c r="G12" s="351" t="s">
        <v>140</v>
      </c>
      <c r="H12" s="351"/>
      <c r="I12" s="188">
        <f>+IF(AND(ISNUMBER(I9),ISNUMBER(I10)),I9/I10,"")</f>
        <v>0.27113829230298525</v>
      </c>
      <c r="J12" s="187" t="s">
        <v>105</v>
      </c>
      <c r="K12" s="146"/>
      <c r="L12" s="358" t="s">
        <v>153</v>
      </c>
      <c r="M12" s="358"/>
      <c r="N12" s="358"/>
      <c r="O12" s="358"/>
      <c r="P12" s="154"/>
    </row>
    <row r="13" spans="1:16" x14ac:dyDescent="0.25">
      <c r="A13" s="158">
        <f>+IF(ISNUMBER('Cálculo Aforo'!D44),'Cálculo Aforo'!D44,IF(A12&gt;A11,A12,""))</f>
        <v>1.31</v>
      </c>
      <c r="B13" s="158">
        <f>+IF(ISNUMBER('Cálculo Aforo'!D44),'Cálculo Aforo'!E44,IF(ISNUMBER(A13),IF(A13=A12,0,""),""))</f>
        <v>0</v>
      </c>
      <c r="C13" s="158">
        <f t="shared" si="0"/>
        <v>0.46</v>
      </c>
      <c r="D13" s="158">
        <v>9</v>
      </c>
      <c r="E13" s="158">
        <v>1.3480000000000001E-6</v>
      </c>
      <c r="F13" s="153"/>
      <c r="G13" s="351" t="s">
        <v>139</v>
      </c>
      <c r="H13" s="351"/>
      <c r="I13" s="189">
        <f>+IF(ISNUMBER('Cálculo Aforo'!C22),'Cálculo Aforo'!C22,"")</f>
        <v>1.31</v>
      </c>
      <c r="J13" s="187" t="s">
        <v>105</v>
      </c>
      <c r="K13" s="146"/>
      <c r="L13" s="358"/>
      <c r="M13" s="358"/>
      <c r="N13" s="358"/>
      <c r="O13" s="358"/>
      <c r="P13" s="154"/>
    </row>
    <row r="14" spans="1:16" x14ac:dyDescent="0.25">
      <c r="A14" s="158" t="str">
        <f>+IF(ISNUMBER('Cálculo Aforo'!D46),'Cálculo Aforo'!D46,IF(A13&gt;A12,A13,""))</f>
        <v/>
      </c>
      <c r="B14" s="158" t="str">
        <f>+IF(ISNUMBER('Cálculo Aforo'!D46),'Cálculo Aforo'!E46,IF(ISNUMBER(A14),IF(A14=A13,0,""),""))</f>
        <v/>
      </c>
      <c r="C14" s="158" t="str">
        <f t="shared" si="0"/>
        <v/>
      </c>
      <c r="D14" s="158">
        <v>10</v>
      </c>
      <c r="E14" s="158">
        <v>1.31E-6</v>
      </c>
      <c r="F14" s="153"/>
      <c r="G14" s="351" t="s">
        <v>141</v>
      </c>
      <c r="H14" s="351"/>
      <c r="I14" s="188">
        <f>+IF(AND(ISNUMBER(I9),ISNUMBER(I13)),I9/I13,"")</f>
        <v>0.45958015267175578</v>
      </c>
      <c r="J14" s="187" t="s">
        <v>105</v>
      </c>
      <c r="K14" s="146"/>
      <c r="L14" s="358"/>
      <c r="M14" s="358"/>
      <c r="N14" s="358"/>
      <c r="O14" s="358"/>
      <c r="P14" s="154"/>
    </row>
    <row r="15" spans="1:16" x14ac:dyDescent="0.25">
      <c r="A15" s="158" t="str">
        <f>+IF(ISNUMBER('Cálculo Aforo'!D48),'Cálculo Aforo'!D48,IF(A14&gt;A13,A14,""))</f>
        <v/>
      </c>
      <c r="B15" s="158" t="str">
        <f>+IF(ISNUMBER('Cálculo Aforo'!D48),'Cálculo Aforo'!E48,IF(ISNUMBER(A15),IF(A15=A14,0,""),""))</f>
        <v/>
      </c>
      <c r="C15" s="158" t="str">
        <f t="shared" si="0"/>
        <v/>
      </c>
      <c r="D15" s="158">
        <v>11</v>
      </c>
      <c r="E15" s="158">
        <v>1.274E-6</v>
      </c>
      <c r="F15" s="153"/>
      <c r="G15" s="351" t="s">
        <v>142</v>
      </c>
      <c r="H15" s="351"/>
      <c r="I15" s="190">
        <f>+IF(AND(ISNUMBER('Cálculo Aforo'!G64),ISNUMBER(I14)),'Cálculo Aforo'!G64/(SQRT(9.81*I14)),"")</f>
        <v>0.43766768602257794</v>
      </c>
      <c r="J15" s="187" t="s">
        <v>149</v>
      </c>
      <c r="K15" s="146"/>
      <c r="L15" s="358"/>
      <c r="M15" s="358"/>
      <c r="N15" s="358"/>
      <c r="O15" s="358"/>
      <c r="P15" s="154"/>
    </row>
    <row r="16" spans="1:16" x14ac:dyDescent="0.25">
      <c r="A16" s="158" t="str">
        <f>+IF(ISNUMBER('Cálculo Aforo'!D50),'Cálculo Aforo'!D50,IF(A15&gt;A14,A15,""))</f>
        <v/>
      </c>
      <c r="B16" s="158" t="str">
        <f>+IF(ISNUMBER('Cálculo Aforo'!D50),'Cálculo Aforo'!E50,IF(ISNUMBER(A16),IF(A16=A15,0,""),""))</f>
        <v/>
      </c>
      <c r="C16" s="158" t="str">
        <f t="shared" si="0"/>
        <v/>
      </c>
      <c r="D16" s="158">
        <v>12</v>
      </c>
      <c r="E16" s="158">
        <v>1.24E-6</v>
      </c>
      <c r="F16" s="153"/>
      <c r="G16" s="351" t="s">
        <v>143</v>
      </c>
      <c r="H16" s="351"/>
      <c r="I16" s="359" t="str">
        <f>+IF(ISNUMBER(I15),IF(ROUND(I15,1)&gt;1,"Supercrítico",IF(ROUND(I15,1)=1,"Crítico",IF(ROUND(I15,1)&lt;1,"Subcrítico",""))),"")</f>
        <v>Subcrítico</v>
      </c>
      <c r="J16" s="360"/>
      <c r="K16" s="146"/>
      <c r="L16" s="358"/>
      <c r="M16" s="358"/>
      <c r="N16" s="358"/>
      <c r="O16" s="358"/>
      <c r="P16" s="154"/>
    </row>
    <row r="17" spans="1:16" x14ac:dyDescent="0.25">
      <c r="A17" s="158" t="str">
        <f>+IF(ISNUMBER('Cálculo Aforo'!D52),'Cálculo Aforo'!D52,IF(A16&gt;A15,A16,""))</f>
        <v/>
      </c>
      <c r="B17" s="158" t="str">
        <f>+IF(ISNUMBER('Cálculo Aforo'!D52),'Cálculo Aforo'!E52,IF(ISNUMBER(A17),IF(A17=A16,0,""),""))</f>
        <v/>
      </c>
      <c r="C17" s="158" t="str">
        <f t="shared" si="0"/>
        <v/>
      </c>
      <c r="D17" s="158">
        <v>13</v>
      </c>
      <c r="E17" s="158">
        <v>1.207E-6</v>
      </c>
      <c r="F17" s="153"/>
      <c r="G17" s="194"/>
      <c r="H17" s="194"/>
      <c r="I17" s="194"/>
      <c r="J17" s="194"/>
      <c r="K17" s="146"/>
      <c r="L17" s="146"/>
      <c r="M17" s="146"/>
      <c r="N17" s="146"/>
      <c r="O17" s="146"/>
      <c r="P17" s="154"/>
    </row>
    <row r="18" spans="1:16" ht="15.75" thickBot="1" x14ac:dyDescent="0.3">
      <c r="A18" s="158" t="str">
        <f>+IF(ISNUMBER('Cálculo Aforo'!D54),'Cálculo Aforo'!D54,IF(A17&gt;A16,A17,""))</f>
        <v/>
      </c>
      <c r="B18" s="158" t="str">
        <f>+IF(ISNUMBER('Cálculo Aforo'!D54),'Cálculo Aforo'!E54,IF(ISNUMBER(A18),IF(A18=A17,0,""),""))</f>
        <v/>
      </c>
      <c r="C18" s="158" t="str">
        <f t="shared" si="0"/>
        <v/>
      </c>
      <c r="D18" s="158">
        <v>14</v>
      </c>
      <c r="E18" s="158">
        <v>1.1759999999999998E-6</v>
      </c>
      <c r="F18" s="155"/>
      <c r="G18" s="156"/>
      <c r="H18" s="156"/>
      <c r="I18" s="156"/>
      <c r="J18" s="156"/>
      <c r="K18" s="156"/>
      <c r="L18" s="156"/>
      <c r="M18" s="156"/>
      <c r="N18" s="156"/>
      <c r="O18" s="156"/>
      <c r="P18" s="157"/>
    </row>
    <row r="19" spans="1:16" x14ac:dyDescent="0.25">
      <c r="A19" s="158" t="str">
        <f>+IF(ISNUMBER('Cálculo Aforo'!D56),'Cálculo Aforo'!D56,IF(A18&gt;A17,A18,""))</f>
        <v/>
      </c>
      <c r="B19" s="158" t="str">
        <f>+IF(ISNUMBER('Cálculo Aforo'!D56),'Cálculo Aforo'!E56,IF(ISNUMBER(A19),IF(A19=A18,0,""),""))</f>
        <v/>
      </c>
      <c r="C19" s="158" t="str">
        <f t="shared" si="0"/>
        <v/>
      </c>
      <c r="D19" s="158">
        <v>15</v>
      </c>
      <c r="E19" s="158">
        <v>1.1459999999999999E-6</v>
      </c>
    </row>
    <row r="20" spans="1:16" x14ac:dyDescent="0.25">
      <c r="A20" s="158" t="str">
        <f>+IF(ISNUMBER('Cálculo Aforo'!D58),'Cálculo Aforo'!D58,IF(A19&gt;A18,A19,""))</f>
        <v/>
      </c>
      <c r="B20" s="158" t="str">
        <f>+IF(ISNUMBER('Cálculo Aforo'!D58),'Cálculo Aforo'!E58,IF(ISNUMBER(A20),IF(A20=A19,0,""),""))</f>
        <v/>
      </c>
      <c r="C20" s="158" t="str">
        <f t="shared" si="0"/>
        <v/>
      </c>
      <c r="D20" s="158">
        <v>16</v>
      </c>
      <c r="E20" s="158">
        <v>1.1169999999999999E-6</v>
      </c>
    </row>
    <row r="21" spans="1:16" x14ac:dyDescent="0.25">
      <c r="A21" s="158" t="str">
        <f>+IF(ISNUMBER('Cálculo Aforo'!D60),'Cálculo Aforo'!D60,IF(A20&gt;A19,A20,""))</f>
        <v/>
      </c>
      <c r="B21" s="158" t="str">
        <f>+IF(ISNUMBER('Cálculo Aforo'!D60),'Cálculo Aforo'!E60,IF(ISNUMBER(A21),IF(A21=A20,0,""),""))</f>
        <v/>
      </c>
      <c r="C21" s="158" t="str">
        <f t="shared" si="0"/>
        <v/>
      </c>
      <c r="D21" s="158">
        <v>17</v>
      </c>
      <c r="E21" s="158">
        <v>1.0889999999999999E-6</v>
      </c>
    </row>
    <row r="22" spans="1:16" x14ac:dyDescent="0.25">
      <c r="A22" s="158" t="str">
        <f>+IF(ISNUMBER('Cálculo Aforo'!D62),'Cálculo Aforo'!D62,IF(A21&gt;A20,A21,""))</f>
        <v/>
      </c>
      <c r="B22" s="158" t="str">
        <f>+IF(ISNUMBER('Cálculo Aforo'!D62),'Cálculo Aforo'!E62,IF(ISNUMBER(A22),IF(A22=A21,0,""),""))</f>
        <v/>
      </c>
      <c r="C22" s="158" t="str">
        <f t="shared" si="0"/>
        <v/>
      </c>
      <c r="D22" s="158">
        <v>18</v>
      </c>
      <c r="E22" s="158">
        <v>1.0609999999999999E-6</v>
      </c>
    </row>
    <row r="23" spans="1:16" x14ac:dyDescent="0.25">
      <c r="A23" s="158" t="str">
        <f>+IF(ISNUMBER('Cálculo Aforo'!D64),'Cálculo Aforo'!D64,IF(A22&gt;A21,A22,""))</f>
        <v/>
      </c>
      <c r="B23" s="158" t="str">
        <f>+IF(ISNUMBER('Cálculo Aforo'!D64),'Cálculo Aforo'!E64,IF(ISNUMBER(A23),IF(A23=A22,0,""),""))</f>
        <v/>
      </c>
      <c r="C23" s="158" t="str">
        <f t="shared" si="0"/>
        <v/>
      </c>
      <c r="D23" s="158">
        <v>19</v>
      </c>
      <c r="E23" s="158">
        <v>1.0359999999999999E-6</v>
      </c>
    </row>
    <row r="24" spans="1:16" x14ac:dyDescent="0.25">
      <c r="D24" s="158">
        <v>20</v>
      </c>
      <c r="E24" s="158">
        <v>1.0109999999999999E-6</v>
      </c>
    </row>
    <row r="25" spans="1:16" x14ac:dyDescent="0.25">
      <c r="D25" s="158">
        <v>21</v>
      </c>
      <c r="E25" s="158">
        <v>9.8599999999999996E-7</v>
      </c>
    </row>
    <row r="26" spans="1:16" x14ac:dyDescent="0.25">
      <c r="D26" s="158">
        <v>22</v>
      </c>
      <c r="E26" s="158">
        <v>9.6299999999999993E-7</v>
      </c>
    </row>
    <row r="27" spans="1:16" x14ac:dyDescent="0.25">
      <c r="D27" s="158">
        <v>23</v>
      </c>
      <c r="E27" s="158">
        <v>9.3999999999999989E-7</v>
      </c>
    </row>
    <row r="28" spans="1:16" x14ac:dyDescent="0.25">
      <c r="D28" s="158">
        <v>24</v>
      </c>
      <c r="E28" s="158">
        <v>9.1800000000000004E-7</v>
      </c>
    </row>
    <row r="29" spans="1:16" x14ac:dyDescent="0.25">
      <c r="D29" s="158">
        <v>25</v>
      </c>
      <c r="E29" s="158">
        <v>8.9800000000000002E-7</v>
      </c>
    </row>
    <row r="30" spans="1:16" x14ac:dyDescent="0.25">
      <c r="D30" s="158">
        <v>26</v>
      </c>
      <c r="E30" s="158">
        <v>8.78E-7</v>
      </c>
    </row>
    <row r="31" spans="1:16" x14ac:dyDescent="0.25">
      <c r="D31" s="158">
        <v>27</v>
      </c>
      <c r="E31" s="158">
        <v>8.5799999999999998E-7</v>
      </c>
    </row>
    <row r="32" spans="1:16" x14ac:dyDescent="0.25">
      <c r="D32" s="158">
        <v>28</v>
      </c>
      <c r="E32" s="158">
        <v>8.3899999999999993E-7</v>
      </c>
    </row>
    <row r="33" spans="4:5" x14ac:dyDescent="0.25">
      <c r="D33" s="158">
        <v>29</v>
      </c>
      <c r="E33" s="158">
        <v>8.2099999999999995E-7</v>
      </c>
    </row>
    <row r="34" spans="4:5" x14ac:dyDescent="0.25">
      <c r="D34" s="158">
        <v>30</v>
      </c>
      <c r="E34" s="158">
        <v>8.0299999999999998E-7</v>
      </c>
    </row>
  </sheetData>
  <sheetProtection selectLockedCells="1"/>
  <mergeCells count="16">
    <mergeCell ref="G11:H11"/>
    <mergeCell ref="G12:H12"/>
    <mergeCell ref="L2:O2"/>
    <mergeCell ref="L4:O7"/>
    <mergeCell ref="L9:M9"/>
    <mergeCell ref="L10:M10"/>
    <mergeCell ref="G2:J2"/>
    <mergeCell ref="G4:J7"/>
    <mergeCell ref="G9:H9"/>
    <mergeCell ref="G10:H10"/>
    <mergeCell ref="L12:O16"/>
    <mergeCell ref="G13:H13"/>
    <mergeCell ref="G14:H14"/>
    <mergeCell ref="G15:H15"/>
    <mergeCell ref="G16:H16"/>
    <mergeCell ref="I16:J16"/>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autoPageBreaks="0"/>
  </sheetPr>
  <dimension ref="A1:Y26"/>
  <sheetViews>
    <sheetView topLeftCell="N1" workbookViewId="0">
      <selection activeCell="R10" sqref="R10:S10"/>
    </sheetView>
  </sheetViews>
  <sheetFormatPr baseColWidth="10" defaultRowHeight="15" x14ac:dyDescent="0.25"/>
  <cols>
    <col min="1" max="7" width="7.140625" hidden="1" customWidth="1"/>
    <col min="8" max="8" width="7.140625" style="158" hidden="1" customWidth="1"/>
    <col min="9" max="11" width="11.28515625" hidden="1" customWidth="1"/>
    <col min="12" max="12" width="17.140625" hidden="1" customWidth="1"/>
    <col min="13" max="13" width="17.28515625" hidden="1" customWidth="1"/>
    <col min="14" max="14" width="7.28515625" style="158" customWidth="1"/>
    <col min="15" max="15" width="11.28515625" customWidth="1"/>
    <col min="18" max="19" width="18.28515625" customWidth="1"/>
  </cols>
  <sheetData>
    <row r="1" spans="1:25" x14ac:dyDescent="0.25">
      <c r="A1" s="184"/>
      <c r="B1" s="184"/>
      <c r="C1" s="184"/>
      <c r="D1" s="184"/>
      <c r="E1" s="184"/>
      <c r="F1" s="184"/>
      <c r="G1" s="184"/>
      <c r="H1" s="184"/>
      <c r="I1" s="163"/>
      <c r="J1" s="163"/>
      <c r="K1" s="163"/>
      <c r="L1" s="163"/>
      <c r="M1" s="164"/>
      <c r="N1" s="165"/>
      <c r="O1" s="166"/>
      <c r="P1" s="166"/>
      <c r="Q1" s="166"/>
      <c r="R1" s="166"/>
      <c r="S1" s="166"/>
      <c r="T1" s="166"/>
      <c r="U1" s="371" t="s">
        <v>132</v>
      </c>
      <c r="V1" s="372"/>
      <c r="W1" s="373"/>
      <c r="X1" s="166"/>
      <c r="Y1" s="167"/>
    </row>
    <row r="2" spans="1:25" ht="23.25" customHeight="1" thickBot="1" x14ac:dyDescent="0.3">
      <c r="A2" s="184"/>
      <c r="B2" s="184"/>
      <c r="C2" s="184"/>
      <c r="D2" s="184"/>
      <c r="E2" s="184"/>
      <c r="F2" s="184"/>
      <c r="G2" s="184"/>
      <c r="H2" s="184"/>
      <c r="I2" s="163" t="s">
        <v>56</v>
      </c>
      <c r="J2" s="377" t="s">
        <v>119</v>
      </c>
      <c r="K2" s="377"/>
      <c r="L2" s="378" t="s">
        <v>123</v>
      </c>
      <c r="M2" s="380" t="s">
        <v>128</v>
      </c>
      <c r="N2" s="168"/>
      <c r="O2" s="223" t="s">
        <v>56</v>
      </c>
      <c r="P2" s="382" t="s">
        <v>119</v>
      </c>
      <c r="Q2" s="382"/>
      <c r="R2" s="223" t="s">
        <v>123</v>
      </c>
      <c r="S2" s="223" t="s">
        <v>128</v>
      </c>
      <c r="T2" s="164"/>
      <c r="U2" s="374"/>
      <c r="V2" s="375"/>
      <c r="W2" s="376"/>
      <c r="X2" s="164"/>
      <c r="Y2" s="169"/>
    </row>
    <row r="3" spans="1:25" ht="23.25" customHeight="1" thickTop="1" thickBot="1" x14ac:dyDescent="0.3">
      <c r="A3" s="185" t="s">
        <v>129</v>
      </c>
      <c r="B3" s="185" t="s">
        <v>130</v>
      </c>
      <c r="C3" s="185" t="s">
        <v>131</v>
      </c>
      <c r="D3" s="185" t="s">
        <v>124</v>
      </c>
      <c r="E3" s="185" t="s">
        <v>125</v>
      </c>
      <c r="F3" s="185" t="s">
        <v>126</v>
      </c>
      <c r="G3" s="185" t="s">
        <v>127</v>
      </c>
      <c r="H3" s="185"/>
      <c r="I3" s="163"/>
      <c r="J3" s="170" t="s">
        <v>120</v>
      </c>
      <c r="K3" s="170" t="s">
        <v>121</v>
      </c>
      <c r="L3" s="379"/>
      <c r="M3" s="381"/>
      <c r="N3" s="168"/>
      <c r="O3" s="224"/>
      <c r="P3" s="171" t="s">
        <v>120</v>
      </c>
      <c r="Q3" s="171" t="s">
        <v>121</v>
      </c>
      <c r="R3" s="361"/>
      <c r="S3" s="361"/>
      <c r="T3" s="164"/>
      <c r="U3" s="164"/>
      <c r="V3" s="164"/>
      <c r="W3" s="164"/>
      <c r="X3" s="164"/>
      <c r="Y3" s="169"/>
    </row>
    <row r="4" spans="1:25" ht="15.75" thickTop="1" x14ac:dyDescent="0.25">
      <c r="A4" s="185">
        <f>+IF('Cálculo Aforo'!C22&gt;0,0,"")</f>
        <v>0</v>
      </c>
      <c r="B4" s="185">
        <f>+IF('Cálculo Aforo'!C22&gt;0,0,"")</f>
        <v>0</v>
      </c>
      <c r="C4" s="185">
        <f>+IF(ISNUMBER(B4),B4*-1,"")</f>
        <v>0</v>
      </c>
      <c r="D4" s="185">
        <f>+IF(ISNUMBER(A4),INT(A4),"")</f>
        <v>0</v>
      </c>
      <c r="E4" s="185">
        <f>+IF(ISNUMBER(A4),ROUND((A4-D4)*100,0),"")</f>
        <v>0</v>
      </c>
      <c r="F4" s="185">
        <f>+IF(ISNUMBER(A4),IF(B4&gt;0,"-"&amp;INT(B4),INT(B4)),"")</f>
        <v>0</v>
      </c>
      <c r="G4" s="185">
        <f>+IF(ISNUMBER(A4),ROUND((B4-F4)*100,0),"")</f>
        <v>0</v>
      </c>
      <c r="H4" s="185"/>
      <c r="I4" s="163"/>
      <c r="J4" s="172" t="str">
        <f>IF(ISNUMBER(A4),+IF(E4&lt;10,D4&amp;".0"&amp;E4,D4&amp;"."&amp;E4),"")</f>
        <v>0.00</v>
      </c>
      <c r="K4" s="172" t="str">
        <f>+IF(ISNUMBER(A4),IF(G4&lt;10,F4&amp;".0"&amp;G4,F4&amp;"."&amp;G4),"")</f>
        <v>0.00</v>
      </c>
      <c r="L4" s="172" t="str">
        <f>+IF(ISNUMBER(A4),J4&amp;","&amp;K4,"")</f>
        <v>0.00,0.00</v>
      </c>
      <c r="M4" s="173" t="str">
        <f>+IF(ISNUMBER(A4),J4&amp;","&amp;K$4,"")</f>
        <v>0.00,0.00</v>
      </c>
      <c r="N4" s="174"/>
      <c r="O4" s="161"/>
      <c r="P4" s="160" t="str">
        <f>+J4</f>
        <v>0.00</v>
      </c>
      <c r="Q4" s="160" t="str">
        <f t="shared" ref="Q4:S4" si="0">+K4</f>
        <v>0.00</v>
      </c>
      <c r="R4" s="160" t="str">
        <f t="shared" si="0"/>
        <v>0.00,0.00</v>
      </c>
      <c r="S4" s="160" t="str">
        <f t="shared" si="0"/>
        <v>0.00,0.00</v>
      </c>
      <c r="T4" s="164"/>
      <c r="U4" s="362" t="s">
        <v>133</v>
      </c>
      <c r="V4" s="363"/>
      <c r="W4" s="364"/>
      <c r="X4" s="164"/>
      <c r="Y4" s="169"/>
    </row>
    <row r="5" spans="1:25" x14ac:dyDescent="0.25">
      <c r="A5" s="185">
        <f>+IF(ISNUMBER(A4),0,"")</f>
        <v>0</v>
      </c>
      <c r="B5" s="185">
        <f>+IF(ISNUMBER(A4),'Cálculo Aforo'!E28,"")</f>
        <v>0.45</v>
      </c>
      <c r="C5" s="185">
        <f t="shared" ref="C5:C23" si="1">+IF(ISNUMBER(B5),B5*-1,"")</f>
        <v>-0.45</v>
      </c>
      <c r="D5" s="185">
        <f t="shared" ref="D5:D23" si="2">+IF(ISNUMBER(A5),INT(A5),"")</f>
        <v>0</v>
      </c>
      <c r="E5" s="185">
        <f>+IF(ISNUMBER(A5),ROUND((A5-D5)*100,0),"")</f>
        <v>0</v>
      </c>
      <c r="F5" s="185" t="str">
        <f t="shared" ref="F5:F23" si="3">+IF(ISNUMBER(A5),IF(B5&gt;0,"-"&amp;INT(B5),INT(B5)),"")</f>
        <v>-0</v>
      </c>
      <c r="G5" s="185">
        <f t="shared" ref="G5:G23" si="4">+IF(ISNUMBER(A5),ROUND((B5-F5)*100,0),"")</f>
        <v>45</v>
      </c>
      <c r="H5" s="185"/>
      <c r="I5" s="163" t="str">
        <f>+IF(AND('Cálculo Aforo'!C23&gt;0,ISNUMBER('Cálculo Aforo'!C23)),"Inicial","")</f>
        <v>Inicial</v>
      </c>
      <c r="J5" s="175" t="str">
        <f t="shared" ref="J5:J23" si="5">IF(ISNUMBER(A5),+IF(E5&lt;10,D5&amp;".0"&amp;E5,D5&amp;"."&amp;E5),"")</f>
        <v>0.00</v>
      </c>
      <c r="K5" s="175" t="str">
        <f>+IF(ISNUMBER(A5),IF(G5&lt;10,F5&amp;".0"&amp;G5,F5&amp;"."&amp;G5),"")</f>
        <v>-0.45</v>
      </c>
      <c r="L5" s="175" t="str">
        <f t="shared" ref="L5:L23" si="6">+IF(ISNUMBER(A5),J5&amp;","&amp;K5,"")</f>
        <v>0.00,-0.45</v>
      </c>
      <c r="M5" s="176" t="str">
        <f t="shared" ref="M5:M23" si="7">+IF(ISNUMBER(A5),J5&amp;","&amp;K$4,"")</f>
        <v>0.00,0.00</v>
      </c>
      <c r="N5" s="174"/>
      <c r="O5" s="161" t="str">
        <f>+I5</f>
        <v>Inicial</v>
      </c>
      <c r="P5" s="161" t="str">
        <f t="shared" ref="P5:P23" si="8">+J5</f>
        <v>0.00</v>
      </c>
      <c r="Q5" s="161" t="str">
        <f t="shared" ref="Q5:Q23" si="9">+K5</f>
        <v>-0.45</v>
      </c>
      <c r="R5" s="161" t="str">
        <f t="shared" ref="R5:R23" si="10">+L5</f>
        <v>0.00,-0.45</v>
      </c>
      <c r="S5" s="161" t="str">
        <f t="shared" ref="S5:S23" si="11">+M5</f>
        <v>0.00,0.00</v>
      </c>
      <c r="T5" s="164"/>
      <c r="U5" s="365"/>
      <c r="V5" s="366"/>
      <c r="W5" s="367"/>
      <c r="X5" s="164"/>
      <c r="Y5" s="169"/>
    </row>
    <row r="6" spans="1:25" x14ac:dyDescent="0.25">
      <c r="A6" s="185">
        <f>+IF(ISNUMBER('Cálculo Aforo'!D30),'Cálculo Aforo'!D30,IF(A5&gt;A3,A5,""))</f>
        <v>0.11</v>
      </c>
      <c r="B6" s="185">
        <f>+IF(ISNUMBER('Cálculo Aforo'!D30),'Cálculo Aforo'!E30,IF(ISNUMBER(A6),IF(A6=A5,0,""),""))</f>
        <v>0.46</v>
      </c>
      <c r="C6" s="185">
        <f t="shared" si="1"/>
        <v>-0.46</v>
      </c>
      <c r="D6" s="185">
        <f t="shared" si="2"/>
        <v>0</v>
      </c>
      <c r="E6" s="185">
        <f t="shared" ref="E6:E23" si="12">+IF(ISNUMBER(A6),ROUND((A6-D6)*100,0),"")</f>
        <v>11</v>
      </c>
      <c r="F6" s="185" t="str">
        <f t="shared" si="3"/>
        <v>-0</v>
      </c>
      <c r="G6" s="185">
        <f t="shared" si="4"/>
        <v>46</v>
      </c>
      <c r="H6" s="185"/>
      <c r="I6" s="163" t="str">
        <f>+IF(AND('Cálculo Aforo'!C23&gt;0,ISNUMBER('Cálculo Aforo'!C23)),"1","")</f>
        <v>1</v>
      </c>
      <c r="J6" s="175" t="str">
        <f t="shared" si="5"/>
        <v>0.11</v>
      </c>
      <c r="K6" s="175" t="str">
        <f t="shared" ref="K6:K23" si="13">+IF(ISNUMBER(A6),IF(G6&lt;10,F6&amp;".0"&amp;G6,F6&amp;"."&amp;G6),"")</f>
        <v>-0.46</v>
      </c>
      <c r="L6" s="175" t="str">
        <f t="shared" si="6"/>
        <v>0.11,-0.46</v>
      </c>
      <c r="M6" s="176" t="str">
        <f t="shared" si="7"/>
        <v>0.11,0.00</v>
      </c>
      <c r="N6" s="174"/>
      <c r="O6" s="161" t="str">
        <f t="shared" ref="O6:O23" si="14">+I6</f>
        <v>1</v>
      </c>
      <c r="P6" s="161" t="str">
        <f t="shared" si="8"/>
        <v>0.11</v>
      </c>
      <c r="Q6" s="161" t="str">
        <f t="shared" si="9"/>
        <v>-0.46</v>
      </c>
      <c r="R6" s="161" t="str">
        <f t="shared" si="10"/>
        <v>0.11,-0.46</v>
      </c>
      <c r="S6" s="161" t="str">
        <f t="shared" si="11"/>
        <v>0.11,0.00</v>
      </c>
      <c r="T6" s="164"/>
      <c r="U6" s="365"/>
      <c r="V6" s="366"/>
      <c r="W6" s="367"/>
      <c r="X6" s="164"/>
      <c r="Y6" s="169"/>
    </row>
    <row r="7" spans="1:25" x14ac:dyDescent="0.25">
      <c r="A7" s="185">
        <f>+IF(ISNUMBER('Cálculo Aforo'!D32),'Cálculo Aforo'!D32,IF(A6&gt;A5,A6,""))</f>
        <v>0.33</v>
      </c>
      <c r="B7" s="185">
        <f>+IF(ISNUMBER('Cálculo Aforo'!D32),'Cálculo Aforo'!E32,IF(ISNUMBER(A7),IF(A7=A6,0,""),""))</f>
        <v>0.46</v>
      </c>
      <c r="C7" s="185">
        <f t="shared" si="1"/>
        <v>-0.46</v>
      </c>
      <c r="D7" s="185">
        <f t="shared" si="2"/>
        <v>0</v>
      </c>
      <c r="E7" s="185">
        <f t="shared" si="12"/>
        <v>33</v>
      </c>
      <c r="F7" s="185" t="str">
        <f t="shared" si="3"/>
        <v>-0</v>
      </c>
      <c r="G7" s="185">
        <f t="shared" si="4"/>
        <v>46</v>
      </c>
      <c r="H7" s="185"/>
      <c r="I7" s="163" t="str">
        <f>+IF(AND('Cálculo Aforo'!C23&gt;0,ISNUMBER('Cálculo Aforo'!C23)),"2","")</f>
        <v>2</v>
      </c>
      <c r="J7" s="175" t="str">
        <f t="shared" si="5"/>
        <v>0.33</v>
      </c>
      <c r="K7" s="175" t="str">
        <f t="shared" si="13"/>
        <v>-0.46</v>
      </c>
      <c r="L7" s="175" t="str">
        <f t="shared" si="6"/>
        <v>0.33,-0.46</v>
      </c>
      <c r="M7" s="176" t="str">
        <f t="shared" si="7"/>
        <v>0.33,0.00</v>
      </c>
      <c r="N7" s="174"/>
      <c r="O7" s="161" t="str">
        <f t="shared" si="14"/>
        <v>2</v>
      </c>
      <c r="P7" s="161" t="str">
        <f t="shared" si="8"/>
        <v>0.33</v>
      </c>
      <c r="Q7" s="161" t="str">
        <f t="shared" si="9"/>
        <v>-0.46</v>
      </c>
      <c r="R7" s="161" t="str">
        <f t="shared" si="10"/>
        <v>0.33,-0.46</v>
      </c>
      <c r="S7" s="161" t="str">
        <f t="shared" si="11"/>
        <v>0.33,0.00</v>
      </c>
      <c r="T7" s="164"/>
      <c r="U7" s="365"/>
      <c r="V7" s="366"/>
      <c r="W7" s="367"/>
      <c r="X7" s="164"/>
      <c r="Y7" s="169"/>
    </row>
    <row r="8" spans="1:25" x14ac:dyDescent="0.25">
      <c r="A8" s="185">
        <f>+IF(ISNUMBER('Cálculo Aforo'!D34),'Cálculo Aforo'!D34,IF(A7&gt;A6,A7,""))</f>
        <v>0.55000000000000004</v>
      </c>
      <c r="B8" s="185">
        <f>+IF(ISNUMBER('Cálculo Aforo'!D34),'Cálculo Aforo'!E34,IF(ISNUMBER(A8),IF(A8=A7,0,""),""))</f>
        <v>0.46</v>
      </c>
      <c r="C8" s="185">
        <f t="shared" si="1"/>
        <v>-0.46</v>
      </c>
      <c r="D8" s="185">
        <f t="shared" si="2"/>
        <v>0</v>
      </c>
      <c r="E8" s="185">
        <f t="shared" si="12"/>
        <v>55</v>
      </c>
      <c r="F8" s="185" t="str">
        <f t="shared" si="3"/>
        <v>-0</v>
      </c>
      <c r="G8" s="185">
        <f t="shared" si="4"/>
        <v>46</v>
      </c>
      <c r="H8" s="185"/>
      <c r="I8" s="163" t="str">
        <f>+IF(AND('Cálculo Aforo'!C23&gt;0,ISNUMBER('Cálculo Aforo'!C23)),"3","")</f>
        <v>3</v>
      </c>
      <c r="J8" s="175" t="str">
        <f t="shared" si="5"/>
        <v>0.55</v>
      </c>
      <c r="K8" s="175" t="str">
        <f t="shared" si="13"/>
        <v>-0.46</v>
      </c>
      <c r="L8" s="175" t="str">
        <f t="shared" si="6"/>
        <v>0.55,-0.46</v>
      </c>
      <c r="M8" s="176" t="str">
        <f t="shared" si="7"/>
        <v>0.55,0.00</v>
      </c>
      <c r="N8" s="174"/>
      <c r="O8" s="161" t="str">
        <f t="shared" si="14"/>
        <v>3</v>
      </c>
      <c r="P8" s="161" t="str">
        <f t="shared" si="8"/>
        <v>0.55</v>
      </c>
      <c r="Q8" s="161" t="str">
        <f t="shared" si="9"/>
        <v>-0.46</v>
      </c>
      <c r="R8" s="161" t="str">
        <f t="shared" si="10"/>
        <v>0.55,-0.46</v>
      </c>
      <c r="S8" s="161" t="str">
        <f t="shared" si="11"/>
        <v>0.55,0.00</v>
      </c>
      <c r="T8" s="164"/>
      <c r="U8" s="365"/>
      <c r="V8" s="366"/>
      <c r="W8" s="367"/>
      <c r="X8" s="164"/>
      <c r="Y8" s="169"/>
    </row>
    <row r="9" spans="1:25" x14ac:dyDescent="0.25">
      <c r="A9" s="185">
        <f>+IF(ISNUMBER('Cálculo Aforo'!D36),'Cálculo Aforo'!D36,IF(A8&gt;A7,A8,""))</f>
        <v>0.76</v>
      </c>
      <c r="B9" s="185">
        <f>+IF(ISNUMBER('Cálculo Aforo'!D36),'Cálculo Aforo'!E36,IF(ISNUMBER(A9),IF(A9=A8,0,""),""))</f>
        <v>0.46</v>
      </c>
      <c r="C9" s="185">
        <f t="shared" si="1"/>
        <v>-0.46</v>
      </c>
      <c r="D9" s="185">
        <f t="shared" si="2"/>
        <v>0</v>
      </c>
      <c r="E9" s="185">
        <f t="shared" si="12"/>
        <v>76</v>
      </c>
      <c r="F9" s="185" t="str">
        <f t="shared" si="3"/>
        <v>-0</v>
      </c>
      <c r="G9" s="185">
        <f t="shared" si="4"/>
        <v>46</v>
      </c>
      <c r="H9" s="185"/>
      <c r="I9" s="163" t="str">
        <f>+IF(AND('Cálculo Aforo'!C23&gt;0,ISNUMBER('Cálculo Aforo'!C23)),"4","")</f>
        <v>4</v>
      </c>
      <c r="J9" s="175" t="str">
        <f t="shared" si="5"/>
        <v>0.76</v>
      </c>
      <c r="K9" s="175" t="str">
        <f t="shared" si="13"/>
        <v>-0.46</v>
      </c>
      <c r="L9" s="175" t="str">
        <f t="shared" si="6"/>
        <v>0.76,-0.46</v>
      </c>
      <c r="M9" s="176" t="str">
        <f t="shared" si="7"/>
        <v>0.76,0.00</v>
      </c>
      <c r="N9" s="174"/>
      <c r="O9" s="161" t="str">
        <f t="shared" si="14"/>
        <v>4</v>
      </c>
      <c r="P9" s="161" t="str">
        <f t="shared" si="8"/>
        <v>0.76</v>
      </c>
      <c r="Q9" s="161" t="str">
        <f t="shared" si="9"/>
        <v>-0.46</v>
      </c>
      <c r="R9" s="161" t="str">
        <f t="shared" si="10"/>
        <v>0.76,-0.46</v>
      </c>
      <c r="S9" s="161" t="str">
        <f t="shared" si="11"/>
        <v>0.76,0.00</v>
      </c>
      <c r="T9" s="164"/>
      <c r="U9" s="365"/>
      <c r="V9" s="366"/>
      <c r="W9" s="367"/>
      <c r="X9" s="164"/>
      <c r="Y9" s="169"/>
    </row>
    <row r="10" spans="1:25" x14ac:dyDescent="0.25">
      <c r="A10" s="185">
        <f>+IF(ISNUMBER('Cálculo Aforo'!D38),'Cálculo Aforo'!D38,IF(A9&gt;A8,A9,""))</f>
        <v>0.98</v>
      </c>
      <c r="B10" s="185">
        <f>+IF(ISNUMBER('Cálculo Aforo'!D38),'Cálculo Aforo'!E38,IF(ISNUMBER(A10),IF(A10=A9,0,""),""))</f>
        <v>0.46</v>
      </c>
      <c r="C10" s="185">
        <f t="shared" si="1"/>
        <v>-0.46</v>
      </c>
      <c r="D10" s="185">
        <f t="shared" si="2"/>
        <v>0</v>
      </c>
      <c r="E10" s="185">
        <f t="shared" si="12"/>
        <v>98</v>
      </c>
      <c r="F10" s="185" t="str">
        <f t="shared" si="3"/>
        <v>-0</v>
      </c>
      <c r="G10" s="185">
        <f t="shared" si="4"/>
        <v>46</v>
      </c>
      <c r="H10" s="185"/>
      <c r="I10" s="163" t="str">
        <f>+IF(AND('Cálculo Aforo'!C23&gt;0,ISNUMBER('Cálculo Aforo'!C23)),IF('Cálculo Aforo'!C23&gt;4,"5","Final"),"")</f>
        <v>5</v>
      </c>
      <c r="J10" s="175" t="str">
        <f t="shared" si="5"/>
        <v>0.98</v>
      </c>
      <c r="K10" s="175" t="str">
        <f t="shared" si="13"/>
        <v>-0.46</v>
      </c>
      <c r="L10" s="175" t="str">
        <f t="shared" si="6"/>
        <v>0.98,-0.46</v>
      </c>
      <c r="M10" s="176" t="str">
        <f t="shared" si="7"/>
        <v>0.98,0.00</v>
      </c>
      <c r="N10" s="174"/>
      <c r="O10" s="161" t="str">
        <f t="shared" si="14"/>
        <v>5</v>
      </c>
      <c r="P10" s="161" t="str">
        <f t="shared" si="8"/>
        <v>0.98</v>
      </c>
      <c r="Q10" s="161" t="str">
        <f t="shared" si="9"/>
        <v>-0.46</v>
      </c>
      <c r="R10" s="161" t="str">
        <f t="shared" si="10"/>
        <v>0.98,-0.46</v>
      </c>
      <c r="S10" s="161" t="str">
        <f t="shared" si="11"/>
        <v>0.98,0.00</v>
      </c>
      <c r="T10" s="164"/>
      <c r="U10" s="365"/>
      <c r="V10" s="366"/>
      <c r="W10" s="367"/>
      <c r="X10" s="164"/>
      <c r="Y10" s="169"/>
    </row>
    <row r="11" spans="1:25" x14ac:dyDescent="0.25">
      <c r="A11" s="185">
        <f>+IF(ISNUMBER('Cálculo Aforo'!D40),'Cálculo Aforo'!D40,IF(A10&gt;A9,A10,""))</f>
        <v>1.2</v>
      </c>
      <c r="B11" s="185">
        <f>+IF(ISNUMBER('Cálculo Aforo'!D40),'Cálculo Aforo'!E40,IF(ISNUMBER(A11),IF(A11=A10,0,""),""))</f>
        <v>0.46</v>
      </c>
      <c r="C11" s="185">
        <f t="shared" si="1"/>
        <v>-0.46</v>
      </c>
      <c r="D11" s="185">
        <f t="shared" si="2"/>
        <v>1</v>
      </c>
      <c r="E11" s="185">
        <f t="shared" si="12"/>
        <v>20</v>
      </c>
      <c r="F11" s="185" t="str">
        <f t="shared" si="3"/>
        <v>-0</v>
      </c>
      <c r="G11" s="185">
        <f t="shared" si="4"/>
        <v>46</v>
      </c>
      <c r="H11" s="185"/>
      <c r="I11" s="163" t="str">
        <f>+IF(ISNUMBER('Cálculo Aforo'!C23),IF('Cálculo Aforo'!C23&gt;4,"6",""),"")</f>
        <v>6</v>
      </c>
      <c r="J11" s="175" t="str">
        <f t="shared" si="5"/>
        <v>1.20</v>
      </c>
      <c r="K11" s="175" t="str">
        <f t="shared" si="13"/>
        <v>-0.46</v>
      </c>
      <c r="L11" s="175" t="str">
        <f t="shared" si="6"/>
        <v>1.20,-0.46</v>
      </c>
      <c r="M11" s="176" t="str">
        <f t="shared" si="7"/>
        <v>1.20,0.00</v>
      </c>
      <c r="N11" s="174"/>
      <c r="O11" s="161" t="str">
        <f t="shared" si="14"/>
        <v>6</v>
      </c>
      <c r="P11" s="161" t="str">
        <f t="shared" si="8"/>
        <v>1.20</v>
      </c>
      <c r="Q11" s="161" t="str">
        <f t="shared" si="9"/>
        <v>-0.46</v>
      </c>
      <c r="R11" s="161" t="str">
        <f t="shared" si="10"/>
        <v>1.20,-0.46</v>
      </c>
      <c r="S11" s="161" t="str">
        <f t="shared" si="11"/>
        <v>1.20,0.00</v>
      </c>
      <c r="T11" s="164"/>
      <c r="U11" s="365"/>
      <c r="V11" s="366"/>
      <c r="W11" s="367"/>
      <c r="X11" s="164"/>
      <c r="Y11" s="169"/>
    </row>
    <row r="12" spans="1:25" x14ac:dyDescent="0.25">
      <c r="A12" s="185">
        <f>+IF(ISNUMBER('Cálculo Aforo'!D42),'Cálculo Aforo'!D42,IF(A11&gt;A10,A11,""))</f>
        <v>1.31</v>
      </c>
      <c r="B12" s="185">
        <f>+IF(ISNUMBER('Cálculo Aforo'!D42),'Cálculo Aforo'!E42,IF(ISNUMBER(A12),IF(A12=A11,0,""),""))</f>
        <v>0.46</v>
      </c>
      <c r="C12" s="185">
        <f t="shared" si="1"/>
        <v>-0.46</v>
      </c>
      <c r="D12" s="185">
        <f t="shared" si="2"/>
        <v>1</v>
      </c>
      <c r="E12" s="185">
        <f t="shared" si="12"/>
        <v>31</v>
      </c>
      <c r="F12" s="185" t="str">
        <f t="shared" si="3"/>
        <v>-0</v>
      </c>
      <c r="G12" s="185">
        <f t="shared" si="4"/>
        <v>46</v>
      </c>
      <c r="H12" s="185"/>
      <c r="I12" s="163" t="str">
        <f>+IF(ISNUMBER('Cálculo Aforo'!C23),IF('Cálculo Aforo'!C23&gt;6,"6",IF('Cálculo Aforo'!C23&gt;4,"Final","")),"")</f>
        <v>Final</v>
      </c>
      <c r="J12" s="175" t="str">
        <f t="shared" si="5"/>
        <v>1.31</v>
      </c>
      <c r="K12" s="175" t="str">
        <f t="shared" si="13"/>
        <v>-0.46</v>
      </c>
      <c r="L12" s="175" t="str">
        <f t="shared" si="6"/>
        <v>1.31,-0.46</v>
      </c>
      <c r="M12" s="176" t="str">
        <f t="shared" si="7"/>
        <v>1.31,0.00</v>
      </c>
      <c r="N12" s="174"/>
      <c r="O12" s="161" t="str">
        <f t="shared" si="14"/>
        <v>Final</v>
      </c>
      <c r="P12" s="161" t="str">
        <f t="shared" si="8"/>
        <v>1.31</v>
      </c>
      <c r="Q12" s="161" t="str">
        <f t="shared" si="9"/>
        <v>-0.46</v>
      </c>
      <c r="R12" s="161" t="str">
        <f t="shared" si="10"/>
        <v>1.31,-0.46</v>
      </c>
      <c r="S12" s="161" t="str">
        <f t="shared" si="11"/>
        <v>1.31,0.00</v>
      </c>
      <c r="T12" s="164"/>
      <c r="U12" s="365"/>
      <c r="V12" s="366"/>
      <c r="W12" s="367"/>
      <c r="X12" s="164"/>
      <c r="Y12" s="169"/>
    </row>
    <row r="13" spans="1:25" ht="15.75" thickBot="1" x14ac:dyDescent="0.3">
      <c r="A13" s="185">
        <f>+IF(ISNUMBER('Cálculo Aforo'!D44),'Cálculo Aforo'!D44,IF(A12&gt;A11,A12,""))</f>
        <v>1.31</v>
      </c>
      <c r="B13" s="185">
        <f>+IF(ISNUMBER('Cálculo Aforo'!D44),'Cálculo Aforo'!E44,IF(ISNUMBER(A13),IF(A13=A12,0,""),""))</f>
        <v>0</v>
      </c>
      <c r="C13" s="185">
        <f t="shared" si="1"/>
        <v>0</v>
      </c>
      <c r="D13" s="185">
        <f t="shared" si="2"/>
        <v>1</v>
      </c>
      <c r="E13" s="185">
        <f t="shared" si="12"/>
        <v>31</v>
      </c>
      <c r="F13" s="185">
        <f t="shared" si="3"/>
        <v>0</v>
      </c>
      <c r="G13" s="185">
        <f t="shared" si="4"/>
        <v>0</v>
      </c>
      <c r="H13" s="185"/>
      <c r="I13" s="163" t="str">
        <f>+IF(ISNUMBER('Cálculo Aforo'!C23),IF('Cálculo Aforo'!C23&gt;6,"7",""),"")</f>
        <v/>
      </c>
      <c r="J13" s="175" t="str">
        <f t="shared" si="5"/>
        <v>1.31</v>
      </c>
      <c r="K13" s="175" t="str">
        <f t="shared" si="13"/>
        <v>0.00</v>
      </c>
      <c r="L13" s="175" t="str">
        <f t="shared" si="6"/>
        <v>1.31,0.00</v>
      </c>
      <c r="M13" s="176" t="str">
        <f t="shared" si="7"/>
        <v>1.31,0.00</v>
      </c>
      <c r="N13" s="174"/>
      <c r="O13" s="161" t="str">
        <f t="shared" si="14"/>
        <v/>
      </c>
      <c r="P13" s="161" t="str">
        <f t="shared" si="8"/>
        <v>1.31</v>
      </c>
      <c r="Q13" s="161" t="str">
        <f t="shared" si="9"/>
        <v>0.00</v>
      </c>
      <c r="R13" s="161" t="str">
        <f t="shared" si="10"/>
        <v>1.31,0.00</v>
      </c>
      <c r="S13" s="161" t="str">
        <f t="shared" si="11"/>
        <v>1.31,0.00</v>
      </c>
      <c r="T13" s="164"/>
      <c r="U13" s="368"/>
      <c r="V13" s="369"/>
      <c r="W13" s="370"/>
      <c r="X13" s="164"/>
      <c r="Y13" s="169"/>
    </row>
    <row r="14" spans="1:25" ht="16.5" thickTop="1" thickBot="1" x14ac:dyDescent="0.3">
      <c r="A14" s="185" t="str">
        <f>+IF(ISNUMBER('Cálculo Aforo'!D46),'Cálculo Aforo'!D46,IF(A13&gt;A12,A13,""))</f>
        <v/>
      </c>
      <c r="B14" s="185" t="str">
        <f>+IF(ISNUMBER('Cálculo Aforo'!D46),'Cálculo Aforo'!E46,IF(ISNUMBER(A14),IF(A14=A13,0,""),""))</f>
        <v/>
      </c>
      <c r="C14" s="185" t="str">
        <f t="shared" si="1"/>
        <v/>
      </c>
      <c r="D14" s="185" t="str">
        <f t="shared" si="2"/>
        <v/>
      </c>
      <c r="E14" s="185" t="str">
        <f t="shared" si="12"/>
        <v/>
      </c>
      <c r="F14" s="185" t="str">
        <f t="shared" si="3"/>
        <v/>
      </c>
      <c r="G14" s="185" t="str">
        <f t="shared" si="4"/>
        <v/>
      </c>
      <c r="H14" s="185"/>
      <c r="I14" s="163" t="str">
        <f>+IF(ISNUMBER('Cálculo Aforo'!C23),IF('Cálculo Aforo'!C23&gt;6,"8",""),"")</f>
        <v/>
      </c>
      <c r="J14" s="175" t="str">
        <f t="shared" si="5"/>
        <v/>
      </c>
      <c r="K14" s="175" t="str">
        <f t="shared" si="13"/>
        <v/>
      </c>
      <c r="L14" s="175" t="str">
        <f t="shared" si="6"/>
        <v/>
      </c>
      <c r="M14" s="176" t="str">
        <f t="shared" si="7"/>
        <v/>
      </c>
      <c r="N14" s="174"/>
      <c r="O14" s="161" t="str">
        <f t="shared" si="14"/>
        <v/>
      </c>
      <c r="P14" s="161" t="str">
        <f t="shared" si="8"/>
        <v/>
      </c>
      <c r="Q14" s="161" t="str">
        <f t="shared" si="9"/>
        <v/>
      </c>
      <c r="R14" s="161" t="str">
        <f t="shared" si="10"/>
        <v/>
      </c>
      <c r="S14" s="161" t="str">
        <f t="shared" si="11"/>
        <v/>
      </c>
      <c r="T14" s="164"/>
      <c r="U14" s="164"/>
      <c r="V14" s="164"/>
      <c r="W14" s="164"/>
      <c r="X14" s="164"/>
      <c r="Y14" s="169"/>
    </row>
    <row r="15" spans="1:25" ht="15.75" thickTop="1" x14ac:dyDescent="0.25">
      <c r="A15" s="185" t="str">
        <f>+IF(ISNUMBER('Cálculo Aforo'!D48),'Cálculo Aforo'!D48,IF(A14&gt;A13,A14,""))</f>
        <v/>
      </c>
      <c r="B15" s="185" t="str">
        <f>+IF(ISNUMBER('Cálculo Aforo'!D48),'Cálculo Aforo'!E48,IF(ISNUMBER(A15),IF(A15=A14,0,""),""))</f>
        <v/>
      </c>
      <c r="C15" s="185" t="str">
        <f t="shared" si="1"/>
        <v/>
      </c>
      <c r="D15" s="185" t="str">
        <f t="shared" si="2"/>
        <v/>
      </c>
      <c r="E15" s="185" t="str">
        <f t="shared" si="12"/>
        <v/>
      </c>
      <c r="F15" s="185" t="str">
        <f t="shared" si="3"/>
        <v/>
      </c>
      <c r="G15" s="185" t="str">
        <f t="shared" si="4"/>
        <v/>
      </c>
      <c r="H15" s="185"/>
      <c r="I15" s="163" t="str">
        <f>+IF(ISNUMBER('Cálculo Aforo'!C23),IF('Cálculo Aforo'!C23&gt;6,"9",""),"")</f>
        <v/>
      </c>
      <c r="J15" s="175" t="str">
        <f t="shared" si="5"/>
        <v/>
      </c>
      <c r="K15" s="175" t="str">
        <f t="shared" si="13"/>
        <v/>
      </c>
      <c r="L15" s="175" t="str">
        <f t="shared" si="6"/>
        <v/>
      </c>
      <c r="M15" s="176" t="str">
        <f t="shared" si="7"/>
        <v/>
      </c>
      <c r="N15" s="174"/>
      <c r="O15" s="161" t="str">
        <f t="shared" si="14"/>
        <v/>
      </c>
      <c r="P15" s="161" t="str">
        <f t="shared" si="8"/>
        <v/>
      </c>
      <c r="Q15" s="161" t="str">
        <f t="shared" si="9"/>
        <v/>
      </c>
      <c r="R15" s="161" t="str">
        <f t="shared" si="10"/>
        <v/>
      </c>
      <c r="S15" s="161" t="str">
        <f t="shared" si="11"/>
        <v/>
      </c>
      <c r="T15" s="164"/>
      <c r="U15" s="362" t="s">
        <v>154</v>
      </c>
      <c r="V15" s="363"/>
      <c r="W15" s="364"/>
      <c r="X15" s="164"/>
      <c r="Y15" s="169"/>
    </row>
    <row r="16" spans="1:25" x14ac:dyDescent="0.25">
      <c r="A16" s="185" t="str">
        <f>+IF(ISNUMBER('Cálculo Aforo'!D50),'Cálculo Aforo'!D50,IF(A15&gt;A14,A15,""))</f>
        <v/>
      </c>
      <c r="B16" s="185" t="str">
        <f>+IF(ISNUMBER('Cálculo Aforo'!D50),'Cálculo Aforo'!E50,IF(ISNUMBER(A16),IF(A16=A15,0,""),""))</f>
        <v/>
      </c>
      <c r="C16" s="185" t="str">
        <f t="shared" si="1"/>
        <v/>
      </c>
      <c r="D16" s="185" t="str">
        <f t="shared" si="2"/>
        <v/>
      </c>
      <c r="E16" s="185" t="str">
        <f t="shared" si="12"/>
        <v/>
      </c>
      <c r="F16" s="185" t="str">
        <f t="shared" si="3"/>
        <v/>
      </c>
      <c r="G16" s="185" t="str">
        <f t="shared" si="4"/>
        <v/>
      </c>
      <c r="H16" s="185"/>
      <c r="I16" s="163" t="str">
        <f>+IF(ISNUMBER('Cálculo Aforo'!C23),IF('Cálculo Aforo'!C23&gt;6,"10",""),"")</f>
        <v/>
      </c>
      <c r="J16" s="175" t="str">
        <f t="shared" si="5"/>
        <v/>
      </c>
      <c r="K16" s="175" t="str">
        <f t="shared" si="13"/>
        <v/>
      </c>
      <c r="L16" s="175" t="str">
        <f t="shared" si="6"/>
        <v/>
      </c>
      <c r="M16" s="176" t="str">
        <f t="shared" si="7"/>
        <v/>
      </c>
      <c r="N16" s="174"/>
      <c r="O16" s="161" t="str">
        <f t="shared" si="14"/>
        <v/>
      </c>
      <c r="P16" s="161" t="str">
        <f t="shared" si="8"/>
        <v/>
      </c>
      <c r="Q16" s="161" t="str">
        <f t="shared" si="9"/>
        <v/>
      </c>
      <c r="R16" s="161" t="str">
        <f t="shared" si="10"/>
        <v/>
      </c>
      <c r="S16" s="161" t="str">
        <f t="shared" si="11"/>
        <v/>
      </c>
      <c r="T16" s="164"/>
      <c r="U16" s="365"/>
      <c r="V16" s="366"/>
      <c r="W16" s="367"/>
      <c r="X16" s="164"/>
      <c r="Y16" s="169"/>
    </row>
    <row r="17" spans="1:25" x14ac:dyDescent="0.25">
      <c r="A17" s="185" t="str">
        <f>+IF(ISNUMBER('Cálculo Aforo'!D52),'Cálculo Aforo'!D52,IF(A16&gt;A15,A16,""))</f>
        <v/>
      </c>
      <c r="B17" s="185" t="str">
        <f>+IF(ISNUMBER('Cálculo Aforo'!D52),'Cálculo Aforo'!E52,IF(ISNUMBER(A17),IF(A17=A16,0,""),""))</f>
        <v/>
      </c>
      <c r="C17" s="185" t="str">
        <f t="shared" si="1"/>
        <v/>
      </c>
      <c r="D17" s="185" t="str">
        <f t="shared" si="2"/>
        <v/>
      </c>
      <c r="E17" s="185" t="str">
        <f t="shared" si="12"/>
        <v/>
      </c>
      <c r="F17" s="185" t="str">
        <f t="shared" si="3"/>
        <v/>
      </c>
      <c r="G17" s="185" t="str">
        <f t="shared" si="4"/>
        <v/>
      </c>
      <c r="H17" s="185"/>
      <c r="I17" s="163" t="str">
        <f>+IF(ISNUMBER('Cálculo Aforo'!C23),IF('Cálculo Aforo'!C23&gt;10,"11",IF('Cálculo Aforo'!C23&gt;6,"Final","")),"")</f>
        <v/>
      </c>
      <c r="J17" s="175" t="str">
        <f t="shared" si="5"/>
        <v/>
      </c>
      <c r="K17" s="175" t="str">
        <f t="shared" si="13"/>
        <v/>
      </c>
      <c r="L17" s="175" t="str">
        <f t="shared" si="6"/>
        <v/>
      </c>
      <c r="M17" s="176" t="str">
        <f t="shared" si="7"/>
        <v/>
      </c>
      <c r="N17" s="174"/>
      <c r="O17" s="161" t="str">
        <f t="shared" si="14"/>
        <v/>
      </c>
      <c r="P17" s="161" t="str">
        <f t="shared" si="8"/>
        <v/>
      </c>
      <c r="Q17" s="161" t="str">
        <f t="shared" si="9"/>
        <v/>
      </c>
      <c r="R17" s="161" t="str">
        <f t="shared" si="10"/>
        <v/>
      </c>
      <c r="S17" s="161" t="str">
        <f t="shared" si="11"/>
        <v/>
      </c>
      <c r="T17" s="164"/>
      <c r="U17" s="365"/>
      <c r="V17" s="366"/>
      <c r="W17" s="367"/>
      <c r="X17" s="164"/>
      <c r="Y17" s="169"/>
    </row>
    <row r="18" spans="1:25" x14ac:dyDescent="0.25">
      <c r="A18" s="185" t="str">
        <f>+IF(ISNUMBER('Cálculo Aforo'!D54),'Cálculo Aforo'!D54,IF(A17&gt;A16,A17,""))</f>
        <v/>
      </c>
      <c r="B18" s="185" t="str">
        <f>+IF(ISNUMBER('Cálculo Aforo'!D54),'Cálculo Aforo'!E54,IF(ISNUMBER(A18),IF(A18=A17,0,""),""))</f>
        <v/>
      </c>
      <c r="C18" s="185" t="str">
        <f t="shared" si="1"/>
        <v/>
      </c>
      <c r="D18" s="185" t="str">
        <f t="shared" si="2"/>
        <v/>
      </c>
      <c r="E18" s="185" t="str">
        <f t="shared" si="12"/>
        <v/>
      </c>
      <c r="F18" s="185" t="str">
        <f t="shared" si="3"/>
        <v/>
      </c>
      <c r="G18" s="185" t="str">
        <f t="shared" si="4"/>
        <v/>
      </c>
      <c r="H18" s="185"/>
      <c r="I18" s="163" t="str">
        <f>+IF(ISNUMBER('Cálculo Aforo'!C23),IF('Cálculo Aforo'!C23&gt;10,"12",""),"")</f>
        <v/>
      </c>
      <c r="J18" s="175" t="str">
        <f t="shared" si="5"/>
        <v/>
      </c>
      <c r="K18" s="175" t="str">
        <f t="shared" si="13"/>
        <v/>
      </c>
      <c r="L18" s="175" t="str">
        <f t="shared" si="6"/>
        <v/>
      </c>
      <c r="M18" s="176" t="str">
        <f t="shared" si="7"/>
        <v/>
      </c>
      <c r="N18" s="174"/>
      <c r="O18" s="161" t="str">
        <f t="shared" si="14"/>
        <v/>
      </c>
      <c r="P18" s="161" t="str">
        <f t="shared" si="8"/>
        <v/>
      </c>
      <c r="Q18" s="161" t="str">
        <f t="shared" si="9"/>
        <v/>
      </c>
      <c r="R18" s="161" t="str">
        <f t="shared" si="10"/>
        <v/>
      </c>
      <c r="S18" s="161" t="str">
        <f t="shared" si="11"/>
        <v/>
      </c>
      <c r="T18" s="164"/>
      <c r="U18" s="365"/>
      <c r="V18" s="366"/>
      <c r="W18" s="367"/>
      <c r="X18" s="164"/>
      <c r="Y18" s="169"/>
    </row>
    <row r="19" spans="1:25" x14ac:dyDescent="0.25">
      <c r="A19" s="185" t="str">
        <f>+IF(ISNUMBER('Cálculo Aforo'!D56),'Cálculo Aforo'!D56,IF(A18&gt;A17,A18,""))</f>
        <v/>
      </c>
      <c r="B19" s="185" t="str">
        <f>+IF(ISNUMBER('Cálculo Aforo'!D56),'Cálculo Aforo'!E56,IF(ISNUMBER(A19),IF(A19=A18,0,""),""))</f>
        <v/>
      </c>
      <c r="C19" s="185" t="str">
        <f t="shared" si="1"/>
        <v/>
      </c>
      <c r="D19" s="185" t="str">
        <f t="shared" si="2"/>
        <v/>
      </c>
      <c r="E19" s="185" t="str">
        <f t="shared" si="12"/>
        <v/>
      </c>
      <c r="F19" s="185" t="str">
        <f t="shared" si="3"/>
        <v/>
      </c>
      <c r="G19" s="185" t="str">
        <f t="shared" si="4"/>
        <v/>
      </c>
      <c r="H19" s="185"/>
      <c r="I19" s="163" t="str">
        <f>+IF(ISNUMBER('Cálculo Aforo'!C23),IF('Cálculo Aforo'!C23&gt;10,"13",""),"")</f>
        <v/>
      </c>
      <c r="J19" s="175" t="str">
        <f t="shared" si="5"/>
        <v/>
      </c>
      <c r="K19" s="175" t="str">
        <f t="shared" si="13"/>
        <v/>
      </c>
      <c r="L19" s="175" t="str">
        <f t="shared" si="6"/>
        <v/>
      </c>
      <c r="M19" s="176" t="str">
        <f t="shared" si="7"/>
        <v/>
      </c>
      <c r="N19" s="174"/>
      <c r="O19" s="161" t="str">
        <f t="shared" si="14"/>
        <v/>
      </c>
      <c r="P19" s="161" t="str">
        <f t="shared" si="8"/>
        <v/>
      </c>
      <c r="Q19" s="161" t="str">
        <f t="shared" si="9"/>
        <v/>
      </c>
      <c r="R19" s="161" t="str">
        <f t="shared" si="10"/>
        <v/>
      </c>
      <c r="S19" s="161" t="str">
        <f t="shared" si="11"/>
        <v/>
      </c>
      <c r="T19" s="164"/>
      <c r="U19" s="365"/>
      <c r="V19" s="366"/>
      <c r="W19" s="367"/>
      <c r="X19" s="164"/>
      <c r="Y19" s="169"/>
    </row>
    <row r="20" spans="1:25" x14ac:dyDescent="0.25">
      <c r="A20" s="185" t="str">
        <f>+IF(ISNUMBER('Cálculo Aforo'!D58),'Cálculo Aforo'!D58,IF(A19&gt;A18,A19,""))</f>
        <v/>
      </c>
      <c r="B20" s="185" t="str">
        <f>+IF(ISNUMBER('Cálculo Aforo'!D58),'Cálculo Aforo'!E58,IF(ISNUMBER(A20),IF(A20=A19,0,""),""))</f>
        <v/>
      </c>
      <c r="C20" s="185" t="str">
        <f t="shared" si="1"/>
        <v/>
      </c>
      <c r="D20" s="185" t="str">
        <f t="shared" si="2"/>
        <v/>
      </c>
      <c r="E20" s="185" t="str">
        <f t="shared" si="12"/>
        <v/>
      </c>
      <c r="F20" s="185" t="str">
        <f t="shared" si="3"/>
        <v/>
      </c>
      <c r="G20" s="185" t="str">
        <f t="shared" si="4"/>
        <v/>
      </c>
      <c r="H20" s="185"/>
      <c r="I20" s="163" t="str">
        <f>+IF(ISNUMBER('Cálculo Aforo'!C23),IF('Cálculo Aforo'!C23&gt;10,"14",""),"")</f>
        <v/>
      </c>
      <c r="J20" s="175" t="str">
        <f t="shared" si="5"/>
        <v/>
      </c>
      <c r="K20" s="175" t="str">
        <f t="shared" si="13"/>
        <v/>
      </c>
      <c r="L20" s="175" t="str">
        <f t="shared" si="6"/>
        <v/>
      </c>
      <c r="M20" s="176" t="str">
        <f t="shared" si="7"/>
        <v/>
      </c>
      <c r="N20" s="174"/>
      <c r="O20" s="161" t="str">
        <f t="shared" si="14"/>
        <v/>
      </c>
      <c r="P20" s="161" t="str">
        <f t="shared" si="8"/>
        <v/>
      </c>
      <c r="Q20" s="161" t="str">
        <f t="shared" si="9"/>
        <v/>
      </c>
      <c r="R20" s="161" t="str">
        <f t="shared" si="10"/>
        <v/>
      </c>
      <c r="S20" s="161" t="str">
        <f t="shared" si="11"/>
        <v/>
      </c>
      <c r="T20" s="164"/>
      <c r="U20" s="365"/>
      <c r="V20" s="366"/>
      <c r="W20" s="367"/>
      <c r="X20" s="164"/>
      <c r="Y20" s="169"/>
    </row>
    <row r="21" spans="1:25" x14ac:dyDescent="0.25">
      <c r="A21" s="185" t="str">
        <f>+IF(ISNUMBER('Cálculo Aforo'!D60),'Cálculo Aforo'!D60,IF(A20&gt;A19,A20,""))</f>
        <v/>
      </c>
      <c r="B21" s="185" t="str">
        <f>+IF(ISNUMBER('Cálculo Aforo'!D60),'Cálculo Aforo'!E60,IF(ISNUMBER(A21),IF(A21=A20,0,""),""))</f>
        <v/>
      </c>
      <c r="C21" s="185" t="str">
        <f t="shared" si="1"/>
        <v/>
      </c>
      <c r="D21" s="185" t="str">
        <f t="shared" si="2"/>
        <v/>
      </c>
      <c r="E21" s="185" t="str">
        <f t="shared" si="12"/>
        <v/>
      </c>
      <c r="F21" s="185" t="str">
        <f t="shared" si="3"/>
        <v/>
      </c>
      <c r="G21" s="185" t="str">
        <f t="shared" si="4"/>
        <v/>
      </c>
      <c r="H21" s="185"/>
      <c r="I21" s="163" t="str">
        <f>+IF(ISNUMBER('Cálculo Aforo'!C23),IF('Cálculo Aforo'!C23&gt;10,"15",""),"")</f>
        <v/>
      </c>
      <c r="J21" s="175" t="str">
        <f t="shared" si="5"/>
        <v/>
      </c>
      <c r="K21" s="175" t="str">
        <f t="shared" si="13"/>
        <v/>
      </c>
      <c r="L21" s="175" t="str">
        <f t="shared" si="6"/>
        <v/>
      </c>
      <c r="M21" s="176" t="str">
        <f t="shared" si="7"/>
        <v/>
      </c>
      <c r="N21" s="174"/>
      <c r="O21" s="161" t="str">
        <f t="shared" si="14"/>
        <v/>
      </c>
      <c r="P21" s="161" t="str">
        <f t="shared" si="8"/>
        <v/>
      </c>
      <c r="Q21" s="161" t="str">
        <f t="shared" si="9"/>
        <v/>
      </c>
      <c r="R21" s="161" t="str">
        <f t="shared" si="10"/>
        <v/>
      </c>
      <c r="S21" s="161" t="str">
        <f t="shared" si="11"/>
        <v/>
      </c>
      <c r="T21" s="164"/>
      <c r="U21" s="365"/>
      <c r="V21" s="366"/>
      <c r="W21" s="367"/>
      <c r="X21" s="164"/>
      <c r="Y21" s="169"/>
    </row>
    <row r="22" spans="1:25" x14ac:dyDescent="0.25">
      <c r="A22" s="185" t="str">
        <f>+IF(ISNUMBER('Cálculo Aforo'!D62),'Cálculo Aforo'!D62,IF(A21&gt;A20,A21,""))</f>
        <v/>
      </c>
      <c r="B22" s="185" t="str">
        <f>+IF(ISNUMBER('Cálculo Aforo'!D62),'Cálculo Aforo'!E62,IF(ISNUMBER(A22),IF(A22=A21,0,""),""))</f>
        <v/>
      </c>
      <c r="C22" s="185" t="str">
        <f t="shared" si="1"/>
        <v/>
      </c>
      <c r="D22" s="185" t="str">
        <f t="shared" si="2"/>
        <v/>
      </c>
      <c r="E22" s="185" t="str">
        <f t="shared" si="12"/>
        <v/>
      </c>
      <c r="F22" s="185" t="str">
        <f t="shared" si="3"/>
        <v/>
      </c>
      <c r="G22" s="185" t="str">
        <f t="shared" si="4"/>
        <v/>
      </c>
      <c r="H22" s="185"/>
      <c r="I22" s="163" t="str">
        <f>+IF(ISNUMBER('Cálculo Aforo'!C23),IF('Cálculo Aforo'!C23&gt;10,"16",""),"")</f>
        <v/>
      </c>
      <c r="J22" s="175" t="str">
        <f t="shared" si="5"/>
        <v/>
      </c>
      <c r="K22" s="175" t="str">
        <f t="shared" si="13"/>
        <v/>
      </c>
      <c r="L22" s="175" t="str">
        <f t="shared" si="6"/>
        <v/>
      </c>
      <c r="M22" s="176" t="str">
        <f t="shared" si="7"/>
        <v/>
      </c>
      <c r="N22" s="174"/>
      <c r="O22" s="161" t="str">
        <f t="shared" si="14"/>
        <v/>
      </c>
      <c r="P22" s="161" t="str">
        <f t="shared" si="8"/>
        <v/>
      </c>
      <c r="Q22" s="161" t="str">
        <f t="shared" si="9"/>
        <v/>
      </c>
      <c r="R22" s="161" t="str">
        <f t="shared" si="10"/>
        <v/>
      </c>
      <c r="S22" s="161" t="str">
        <f t="shared" si="11"/>
        <v/>
      </c>
      <c r="T22" s="164"/>
      <c r="U22" s="365"/>
      <c r="V22" s="366"/>
      <c r="W22" s="367"/>
      <c r="X22" s="164"/>
      <c r="Y22" s="169"/>
    </row>
    <row r="23" spans="1:25" ht="15.75" thickBot="1" x14ac:dyDescent="0.3">
      <c r="A23" s="185" t="str">
        <f>+IF(ISNUMBER('Cálculo Aforo'!D64),'Cálculo Aforo'!D64,IF(A22&gt;A21,A22,""))</f>
        <v/>
      </c>
      <c r="B23" s="185" t="str">
        <f>+IF(ISNUMBER('Cálculo Aforo'!D64),'Cálculo Aforo'!E64,IF(ISNUMBER(A23),IF(A23=A22,0,""),""))</f>
        <v/>
      </c>
      <c r="C23" s="185" t="str">
        <f t="shared" si="1"/>
        <v/>
      </c>
      <c r="D23" s="185" t="str">
        <f t="shared" si="2"/>
        <v/>
      </c>
      <c r="E23" s="185" t="str">
        <f t="shared" si="12"/>
        <v/>
      </c>
      <c r="F23" s="185" t="str">
        <f t="shared" si="3"/>
        <v/>
      </c>
      <c r="G23" s="185" t="str">
        <f t="shared" si="4"/>
        <v/>
      </c>
      <c r="H23" s="185"/>
      <c r="I23" s="163" t="str">
        <f>+IF(ISNUMBER('Cálculo Aforo'!C23),IF('Cálculo Aforo'!C23&gt;10,"Final",""),"")</f>
        <v/>
      </c>
      <c r="J23" s="177" t="str">
        <f t="shared" si="5"/>
        <v/>
      </c>
      <c r="K23" s="177" t="str">
        <f t="shared" si="13"/>
        <v/>
      </c>
      <c r="L23" s="177" t="str">
        <f t="shared" si="6"/>
        <v/>
      </c>
      <c r="M23" s="178" t="str">
        <f t="shared" si="7"/>
        <v/>
      </c>
      <c r="N23" s="174"/>
      <c r="O23" s="162" t="str">
        <f t="shared" si="14"/>
        <v/>
      </c>
      <c r="P23" s="162" t="str">
        <f t="shared" si="8"/>
        <v/>
      </c>
      <c r="Q23" s="162" t="str">
        <f t="shared" si="9"/>
        <v/>
      </c>
      <c r="R23" s="162" t="str">
        <f t="shared" si="10"/>
        <v/>
      </c>
      <c r="S23" s="162" t="str">
        <f t="shared" si="11"/>
        <v/>
      </c>
      <c r="T23" s="164"/>
      <c r="U23" s="368"/>
      <c r="V23" s="369"/>
      <c r="W23" s="370"/>
      <c r="X23" s="164"/>
      <c r="Y23" s="169"/>
    </row>
    <row r="24" spans="1:25" ht="15.75" thickTop="1" x14ac:dyDescent="0.25">
      <c r="A24" s="163"/>
      <c r="B24" s="163"/>
      <c r="C24" s="163"/>
      <c r="D24" s="163"/>
      <c r="E24" s="163"/>
      <c r="F24" s="163"/>
      <c r="G24" s="163"/>
      <c r="H24" s="163"/>
      <c r="I24" s="163"/>
      <c r="J24" s="163"/>
      <c r="K24" s="163"/>
      <c r="L24" s="163"/>
      <c r="M24" s="163"/>
      <c r="N24" s="179"/>
      <c r="O24" s="164"/>
      <c r="P24" s="164"/>
      <c r="Q24" s="164"/>
      <c r="R24" s="164"/>
      <c r="S24" s="164"/>
      <c r="T24" s="164"/>
      <c r="U24" s="164"/>
      <c r="V24" s="164"/>
      <c r="W24" s="164"/>
      <c r="X24" s="164"/>
      <c r="Y24" s="169"/>
    </row>
    <row r="25" spans="1:25" x14ac:dyDescent="0.25">
      <c r="A25" s="163"/>
      <c r="B25" s="163"/>
      <c r="C25" s="163"/>
      <c r="D25" s="163"/>
      <c r="E25" s="163"/>
      <c r="F25" s="163"/>
      <c r="G25" s="163"/>
      <c r="H25" s="163"/>
      <c r="I25" s="163"/>
      <c r="J25" s="163"/>
      <c r="K25" s="163"/>
      <c r="L25" s="163"/>
      <c r="M25" s="163"/>
      <c r="N25" s="179"/>
      <c r="O25" s="164"/>
      <c r="P25" s="164"/>
      <c r="Q25" s="164"/>
      <c r="R25" s="164"/>
      <c r="S25" s="164"/>
      <c r="T25" s="164"/>
      <c r="U25" s="164"/>
      <c r="V25" s="164"/>
      <c r="W25" s="164"/>
      <c r="X25" s="164"/>
      <c r="Y25" s="169"/>
    </row>
    <row r="26" spans="1:25" ht="15.75" thickBot="1" x14ac:dyDescent="0.3">
      <c r="A26" s="180"/>
      <c r="B26" s="180"/>
      <c r="C26" s="180"/>
      <c r="D26" s="180"/>
      <c r="E26" s="180"/>
      <c r="F26" s="180"/>
      <c r="G26" s="180"/>
      <c r="H26" s="180"/>
      <c r="I26" s="180"/>
      <c r="J26" s="180"/>
      <c r="K26" s="180"/>
      <c r="L26" s="180"/>
      <c r="M26" s="180"/>
      <c r="N26" s="181"/>
      <c r="O26" s="182"/>
      <c r="P26" s="182"/>
      <c r="Q26" s="182"/>
      <c r="R26" s="182"/>
      <c r="S26" s="182"/>
      <c r="T26" s="182"/>
      <c r="U26" s="182"/>
      <c r="V26" s="182"/>
      <c r="W26" s="182"/>
      <c r="X26" s="182"/>
      <c r="Y26" s="183"/>
    </row>
  </sheetData>
  <sheetProtection password="B321" sheet="1" objects="1" scenarios="1"/>
  <mergeCells count="10">
    <mergeCell ref="J2:K2"/>
    <mergeCell ref="L2:L3"/>
    <mergeCell ref="M2:M3"/>
    <mergeCell ref="O2:O3"/>
    <mergeCell ref="P2:Q2"/>
    <mergeCell ref="R2:R3"/>
    <mergeCell ref="S2:S3"/>
    <mergeCell ref="U4:W13"/>
    <mergeCell ref="U15:W23"/>
    <mergeCell ref="U1:W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autoPageBreaks="0"/>
  </sheetPr>
  <dimension ref="A1:O76"/>
  <sheetViews>
    <sheetView zoomScale="70" zoomScaleNormal="70" zoomScalePageLayoutView="70" workbookViewId="0">
      <selection activeCell="T11" sqref="T11"/>
    </sheetView>
  </sheetViews>
  <sheetFormatPr baseColWidth="10" defaultRowHeight="15" x14ac:dyDescent="0.25"/>
  <cols>
    <col min="1" max="1" width="5.7109375" customWidth="1"/>
    <col min="14" max="14" width="5.7109375" customWidth="1"/>
  </cols>
  <sheetData>
    <row r="1" spans="1:15" ht="30" customHeight="1" x14ac:dyDescent="0.25">
      <c r="A1" s="150"/>
      <c r="B1" s="151"/>
      <c r="C1" s="151"/>
      <c r="D1" s="151"/>
      <c r="E1" s="151"/>
      <c r="F1" s="151"/>
      <c r="G1" s="151"/>
      <c r="H1" s="151"/>
      <c r="I1" s="151"/>
      <c r="J1" s="151"/>
      <c r="K1" s="151"/>
      <c r="L1" s="151"/>
      <c r="M1" s="151"/>
      <c r="N1" s="152"/>
      <c r="O1" s="158"/>
    </row>
    <row r="2" spans="1:15" x14ac:dyDescent="0.25">
      <c r="A2" s="153"/>
      <c r="B2" s="198"/>
      <c r="C2" s="399" t="s">
        <v>0</v>
      </c>
      <c r="D2" s="400" t="s">
        <v>112</v>
      </c>
      <c r="E2" s="400" t="s">
        <v>114</v>
      </c>
      <c r="F2" s="400"/>
      <c r="G2" s="400"/>
      <c r="H2" s="400" t="s">
        <v>114</v>
      </c>
      <c r="I2" s="400"/>
      <c r="J2" s="400"/>
      <c r="K2" s="400" t="s">
        <v>113</v>
      </c>
      <c r="L2" s="400" t="s">
        <v>115</v>
      </c>
      <c r="M2" s="400" t="s">
        <v>116</v>
      </c>
      <c r="N2" s="154"/>
      <c r="O2" s="158"/>
    </row>
    <row r="3" spans="1:15" ht="15" customHeight="1" x14ac:dyDescent="0.25">
      <c r="A3" s="153"/>
      <c r="B3" s="196" t="s">
        <v>151</v>
      </c>
      <c r="C3" s="399"/>
      <c r="D3" s="400"/>
      <c r="E3" s="400"/>
      <c r="F3" s="400"/>
      <c r="G3" s="400"/>
      <c r="H3" s="400"/>
      <c r="I3" s="400"/>
      <c r="J3" s="400"/>
      <c r="K3" s="400"/>
      <c r="L3" s="400"/>
      <c r="M3" s="400"/>
      <c r="N3" s="154"/>
      <c r="O3" s="158"/>
    </row>
    <row r="4" spans="1:15" x14ac:dyDescent="0.25">
      <c r="A4" s="153"/>
      <c r="B4" s="197"/>
      <c r="C4" s="399"/>
      <c r="D4" s="400"/>
      <c r="E4" s="136" t="s">
        <v>2</v>
      </c>
      <c r="F4" s="136" t="s">
        <v>3</v>
      </c>
      <c r="G4" s="136" t="s">
        <v>111</v>
      </c>
      <c r="H4" s="136" t="s">
        <v>2</v>
      </c>
      <c r="I4" s="136" t="s">
        <v>3</v>
      </c>
      <c r="J4" s="136" t="s">
        <v>111</v>
      </c>
      <c r="K4" s="400"/>
      <c r="L4" s="400"/>
      <c r="M4" s="400"/>
      <c r="N4" s="154"/>
      <c r="O4" s="158"/>
    </row>
    <row r="5" spans="1:15" x14ac:dyDescent="0.25">
      <c r="A5" s="153"/>
      <c r="B5" s="133">
        <f>+IF(ISNUMBER(C5),1,"")</f>
        <v>1</v>
      </c>
      <c r="C5" s="383">
        <f>+IF(ISNUMBER('Cálculo Aforo'!B30),'Cálculo Aforo'!B30,"")</f>
        <v>1</v>
      </c>
      <c r="D5" s="383">
        <f>+IF(ISNUMBER('Cálculo Aforo'!E30),'Cálculo Aforo'!E30,"")</f>
        <v>0.46</v>
      </c>
      <c r="E5" s="137">
        <f>+C61</f>
        <v>0.82599999999999996</v>
      </c>
      <c r="F5" s="138">
        <f>+F61</f>
        <v>0.80600000000000005</v>
      </c>
      <c r="G5" s="139" t="str">
        <f>+I61</f>
        <v/>
      </c>
      <c r="H5" s="389">
        <f>+IF(ISNUMBER('Cálculo Aforo'!AF30),'Cálculo Aforo'!AF30,"")</f>
        <v>0.83166666666666667</v>
      </c>
      <c r="I5" s="389">
        <f>+IF(ISNUMBER('Cálculo Aforo'!AG30),'Cálculo Aforo'!AG30,"")</f>
        <v>0.80533333333333335</v>
      </c>
      <c r="J5" s="389" t="str">
        <f>+IF(ISNUMBER('Cálculo Aforo'!AH30),'Cálculo Aforo'!AH30,"")</f>
        <v/>
      </c>
      <c r="K5" s="396">
        <f>+IF(ISNUMBER('Cálculo Aforo'!AI30),'Cálculo Aforo'!AI30,"")</f>
        <v>0.81850000000000001</v>
      </c>
      <c r="L5" s="386">
        <f>+IF(ISNUMBER('Cálculo Aforo'!G30),'Cálculo Aforo'!G30,"")</f>
        <v>0.10065000000000002</v>
      </c>
      <c r="M5" s="386">
        <f>+IF(ISNUMBER('Cálculo Aforo'!AJ30),'Cálculo Aforo'!AJ30,"")</f>
        <v>8.2382025000000011E-2</v>
      </c>
      <c r="N5" s="154"/>
      <c r="O5" s="158"/>
    </row>
    <row r="6" spans="1:15" x14ac:dyDescent="0.25">
      <c r="A6" s="153"/>
      <c r="B6" s="134">
        <f>+IF(ISNUMBER(C5),2,"")</f>
        <v>2</v>
      </c>
      <c r="C6" s="384"/>
      <c r="D6" s="384"/>
      <c r="E6" s="140">
        <f>+D61</f>
        <v>0.82799999999999996</v>
      </c>
      <c r="F6" s="141">
        <f>+G61</f>
        <v>0.79600000000000004</v>
      </c>
      <c r="G6" s="142" t="str">
        <f>+J61</f>
        <v/>
      </c>
      <c r="H6" s="389"/>
      <c r="I6" s="389"/>
      <c r="J6" s="389"/>
      <c r="K6" s="397"/>
      <c r="L6" s="387"/>
      <c r="M6" s="387"/>
      <c r="N6" s="154"/>
      <c r="O6" s="158"/>
    </row>
    <row r="7" spans="1:15" x14ac:dyDescent="0.25">
      <c r="A7" s="153"/>
      <c r="B7" s="135">
        <f>+IF(ISNUMBER(C5),3,"")</f>
        <v>3</v>
      </c>
      <c r="C7" s="385"/>
      <c r="D7" s="385"/>
      <c r="E7" s="143">
        <f>+E61</f>
        <v>0.84099999999999997</v>
      </c>
      <c r="F7" s="144">
        <f>+H61</f>
        <v>0.81399999999999995</v>
      </c>
      <c r="G7" s="145" t="str">
        <f>+K61</f>
        <v/>
      </c>
      <c r="H7" s="389"/>
      <c r="I7" s="389"/>
      <c r="J7" s="389"/>
      <c r="K7" s="398"/>
      <c r="L7" s="388"/>
      <c r="M7" s="388"/>
      <c r="N7" s="154"/>
      <c r="O7" s="158"/>
    </row>
    <row r="8" spans="1:15" x14ac:dyDescent="0.25">
      <c r="A8" s="153"/>
      <c r="B8" s="133">
        <f>+IF(ISNUMBER(C8),1,"")</f>
        <v>1</v>
      </c>
      <c r="C8" s="383">
        <f>+IF(ISNUMBER('Cálculo Aforo'!B32),'Cálculo Aforo'!B32,"")</f>
        <v>2</v>
      </c>
      <c r="D8" s="383">
        <f>+IF(ISNUMBER('Cálculo Aforo'!E32),'Cálculo Aforo'!E32,"")</f>
        <v>0.46</v>
      </c>
      <c r="E8" s="137">
        <f>+C62</f>
        <v>0.94599999999999995</v>
      </c>
      <c r="F8" s="138">
        <f>+F62</f>
        <v>0.88400000000000001</v>
      </c>
      <c r="G8" s="139" t="str">
        <f>+I62</f>
        <v/>
      </c>
      <c r="H8" s="389">
        <f>+IF(ISNUMBER('Cálculo Aforo'!AF32),'Cálculo Aforo'!AF32,"")</f>
        <v>0.95266666666666655</v>
      </c>
      <c r="I8" s="389">
        <f>+IF(ISNUMBER('Cálculo Aforo'!AG32),'Cálculo Aforo'!AG32,"")</f>
        <v>0.88533333333333319</v>
      </c>
      <c r="J8" s="389" t="str">
        <f>+IF(ISNUMBER('Cálculo Aforo'!AH32),'Cálculo Aforo'!AH32,"")</f>
        <v/>
      </c>
      <c r="K8" s="396">
        <f>+IF(ISNUMBER('Cálculo Aforo'!AI32),'Cálculo Aforo'!AI32,"")</f>
        <v>0.91899999999999982</v>
      </c>
      <c r="L8" s="386">
        <f>+IF(ISNUMBER('Cálculo Aforo'!G32),'Cálculo Aforo'!G32,"")</f>
        <v>0.10120000000000001</v>
      </c>
      <c r="M8" s="386">
        <f>+IF(ISNUMBER('Cálculo Aforo'!AJ32),'Cálculo Aforo'!AJ32,"")</f>
        <v>9.3002799999999997E-2</v>
      </c>
      <c r="N8" s="154"/>
      <c r="O8" s="158"/>
    </row>
    <row r="9" spans="1:15" x14ac:dyDescent="0.25">
      <c r="A9" s="153"/>
      <c r="B9" s="134">
        <f>+IF(ISNUMBER(C8),2,"")</f>
        <v>2</v>
      </c>
      <c r="C9" s="384"/>
      <c r="D9" s="384"/>
      <c r="E9" s="140">
        <f>+D62</f>
        <v>0.95799999999999996</v>
      </c>
      <c r="F9" s="141">
        <f>+G62</f>
        <v>0.88300000000000001</v>
      </c>
      <c r="G9" s="142" t="str">
        <f>+J62</f>
        <v/>
      </c>
      <c r="H9" s="389"/>
      <c r="I9" s="389"/>
      <c r="J9" s="389"/>
      <c r="K9" s="397"/>
      <c r="L9" s="387"/>
      <c r="M9" s="387"/>
      <c r="N9" s="154"/>
      <c r="O9" s="158"/>
    </row>
    <row r="10" spans="1:15" x14ac:dyDescent="0.25">
      <c r="A10" s="153"/>
      <c r="B10" s="135">
        <f>+IF(ISNUMBER(C8),3,"")</f>
        <v>3</v>
      </c>
      <c r="C10" s="385"/>
      <c r="D10" s="385"/>
      <c r="E10" s="143">
        <f>+E62</f>
        <v>0.95399999999999996</v>
      </c>
      <c r="F10" s="144">
        <f>+H62</f>
        <v>0.88900000000000001</v>
      </c>
      <c r="G10" s="145" t="str">
        <f>+K62</f>
        <v/>
      </c>
      <c r="H10" s="389"/>
      <c r="I10" s="389"/>
      <c r="J10" s="389"/>
      <c r="K10" s="398"/>
      <c r="L10" s="388"/>
      <c r="M10" s="388"/>
      <c r="N10" s="154"/>
      <c r="O10" s="158"/>
    </row>
    <row r="11" spans="1:15" x14ac:dyDescent="0.25">
      <c r="A11" s="153"/>
      <c r="B11" s="133">
        <f>+IF(ISNUMBER(C11),1,"")</f>
        <v>1</v>
      </c>
      <c r="C11" s="383">
        <f>+IF(ISNUMBER('Cálculo Aforo'!B34),'Cálculo Aforo'!B34,"")</f>
        <v>3</v>
      </c>
      <c r="D11" s="383">
        <f>+IF(ISNUMBER('Cálculo Aforo'!E34),'Cálculo Aforo'!E34,"")</f>
        <v>0.46</v>
      </c>
      <c r="E11" s="137">
        <f>+C63</f>
        <v>0.98899999999999999</v>
      </c>
      <c r="F11" s="138">
        <f>+F63</f>
        <v>0.95399999999999996</v>
      </c>
      <c r="G11" s="139" t="str">
        <f>+I63</f>
        <v/>
      </c>
      <c r="H11" s="389">
        <f>+IF(ISNUMBER('Cálculo Aforo'!AF34),'Cálculo Aforo'!AF34,"")</f>
        <v>0.98933333333333329</v>
      </c>
      <c r="I11" s="389">
        <f>+IF(ISNUMBER('Cálculo Aforo'!AG34),'Cálculo Aforo'!AG34,"")</f>
        <v>0.94799999999999995</v>
      </c>
      <c r="J11" s="389" t="str">
        <f>+IF(ISNUMBER('Cálculo Aforo'!AH34),'Cálculo Aforo'!AH34,"")</f>
        <v/>
      </c>
      <c r="K11" s="396">
        <f>+IF(ISNUMBER('Cálculo Aforo'!AI34),'Cálculo Aforo'!AI34,"")</f>
        <v>0.96866666666666656</v>
      </c>
      <c r="L11" s="386">
        <f>+IF(ISNUMBER('Cálculo Aforo'!G34),'Cálculo Aforo'!G34,"")</f>
        <v>9.8900000000000002E-2</v>
      </c>
      <c r="M11" s="386">
        <f>+IF(ISNUMBER('Cálculo Aforo'!AJ34),'Cálculo Aforo'!AJ34,"")</f>
        <v>9.580113333333333E-2</v>
      </c>
      <c r="N11" s="154"/>
      <c r="O11" s="158"/>
    </row>
    <row r="12" spans="1:15" x14ac:dyDescent="0.25">
      <c r="A12" s="153"/>
      <c r="B12" s="134">
        <f>+IF(ISNUMBER(C11),2,"")</f>
        <v>2</v>
      </c>
      <c r="C12" s="384"/>
      <c r="D12" s="384"/>
      <c r="E12" s="140">
        <f>+D63</f>
        <v>0.98499999999999999</v>
      </c>
      <c r="F12" s="141">
        <f>+G63</f>
        <v>0.94699999999999995</v>
      </c>
      <c r="G12" s="142" t="str">
        <f>+J63</f>
        <v/>
      </c>
      <c r="H12" s="389"/>
      <c r="I12" s="389"/>
      <c r="J12" s="389"/>
      <c r="K12" s="397"/>
      <c r="L12" s="387"/>
      <c r="M12" s="387"/>
      <c r="N12" s="154"/>
      <c r="O12" s="158"/>
    </row>
    <row r="13" spans="1:15" x14ac:dyDescent="0.25">
      <c r="A13" s="153"/>
      <c r="B13" s="135">
        <f>+IF(ISNUMBER(C11),3,"")</f>
        <v>3</v>
      </c>
      <c r="C13" s="385"/>
      <c r="D13" s="385"/>
      <c r="E13" s="143">
        <f>+E63</f>
        <v>0.99399999999999999</v>
      </c>
      <c r="F13" s="144">
        <f>+H63</f>
        <v>0.94299999999999995</v>
      </c>
      <c r="G13" s="145" t="str">
        <f>+K63</f>
        <v/>
      </c>
      <c r="H13" s="389"/>
      <c r="I13" s="389"/>
      <c r="J13" s="389"/>
      <c r="K13" s="398"/>
      <c r="L13" s="388"/>
      <c r="M13" s="388"/>
      <c r="N13" s="154"/>
      <c r="O13" s="158"/>
    </row>
    <row r="14" spans="1:15" x14ac:dyDescent="0.25">
      <c r="A14" s="153"/>
      <c r="B14" s="133">
        <f>+IF(ISNUMBER(C14),1,"")</f>
        <v>1</v>
      </c>
      <c r="C14" s="383">
        <f>+IF(ISNUMBER('Cálculo Aforo'!B36),'Cálculo Aforo'!B36,"")</f>
        <v>4</v>
      </c>
      <c r="D14" s="383">
        <f>+IF(ISNUMBER('Cálculo Aforo'!E36),'Cálculo Aforo'!E36,"")</f>
        <v>0.46</v>
      </c>
      <c r="E14" s="137">
        <f>+C64</f>
        <v>1.0009999999999999</v>
      </c>
      <c r="F14" s="138">
        <f>+F64</f>
        <v>0.98299999999999998</v>
      </c>
      <c r="G14" s="139" t="str">
        <f>+I64</f>
        <v/>
      </c>
      <c r="H14" s="389">
        <f>+IF(ISNUMBER('Cálculo Aforo'!AF36),'Cálculo Aforo'!AF36,"")</f>
        <v>1.0046666666666668</v>
      </c>
      <c r="I14" s="389">
        <f>+IF(ISNUMBER('Cálculo Aforo'!AG36),'Cálculo Aforo'!AG36,"")</f>
        <v>0.98833333333333329</v>
      </c>
      <c r="J14" s="389" t="str">
        <f>+IF(ISNUMBER('Cálculo Aforo'!AH36),'Cálculo Aforo'!AH36,"")</f>
        <v/>
      </c>
      <c r="K14" s="396">
        <f>+IF(ISNUMBER('Cálculo Aforo'!AI36),'Cálculo Aforo'!AI36,"")</f>
        <v>0.99650000000000005</v>
      </c>
      <c r="L14" s="386">
        <f>+IF(ISNUMBER('Cálculo Aforo'!G36),'Cálculo Aforo'!G36,"")</f>
        <v>9.8899999999999988E-2</v>
      </c>
      <c r="M14" s="386">
        <f>+IF(ISNUMBER('Cálculo Aforo'!AJ36),'Cálculo Aforo'!AJ36,"")</f>
        <v>9.8553849999999998E-2</v>
      </c>
      <c r="N14" s="154"/>
      <c r="O14" s="158"/>
    </row>
    <row r="15" spans="1:15" x14ac:dyDescent="0.25">
      <c r="A15" s="153"/>
      <c r="B15" s="134">
        <f>+IF(ISNUMBER(C14),2,"")</f>
        <v>2</v>
      </c>
      <c r="C15" s="384"/>
      <c r="D15" s="384"/>
      <c r="E15" s="140">
        <f>+D64</f>
        <v>0.999</v>
      </c>
      <c r="F15" s="141">
        <f>+G64</f>
        <v>0.98799999999999999</v>
      </c>
      <c r="G15" s="142" t="str">
        <f>+J64</f>
        <v/>
      </c>
      <c r="H15" s="389"/>
      <c r="I15" s="389"/>
      <c r="J15" s="389"/>
      <c r="K15" s="397"/>
      <c r="L15" s="387"/>
      <c r="M15" s="387"/>
      <c r="N15" s="154"/>
      <c r="O15" s="158"/>
    </row>
    <row r="16" spans="1:15" x14ac:dyDescent="0.25">
      <c r="A16" s="153"/>
      <c r="B16" s="135">
        <f>+IF(ISNUMBER(C14),3,"")</f>
        <v>3</v>
      </c>
      <c r="C16" s="385"/>
      <c r="D16" s="385"/>
      <c r="E16" s="143">
        <f>+E64</f>
        <v>1.014</v>
      </c>
      <c r="F16" s="144">
        <f>+H64</f>
        <v>0.99399999999999999</v>
      </c>
      <c r="G16" s="145" t="str">
        <f>+K64</f>
        <v/>
      </c>
      <c r="H16" s="389"/>
      <c r="I16" s="389"/>
      <c r="J16" s="389"/>
      <c r="K16" s="398"/>
      <c r="L16" s="388"/>
      <c r="M16" s="388"/>
      <c r="N16" s="154"/>
      <c r="O16" s="158"/>
    </row>
    <row r="17" spans="1:15" x14ac:dyDescent="0.25">
      <c r="A17" s="153"/>
      <c r="B17" s="133">
        <f>+IF(ISNUMBER(C17),1,"")</f>
        <v>1</v>
      </c>
      <c r="C17" s="383">
        <f>+IF(ISNUMBER('Cálculo Aforo'!B38),'Cálculo Aforo'!B38,"")</f>
        <v>5</v>
      </c>
      <c r="D17" s="383">
        <f>+IF(ISNUMBER('Cálculo Aforo'!E38),'Cálculo Aforo'!E38,"")</f>
        <v>0.46</v>
      </c>
      <c r="E17" s="137">
        <f>+C65</f>
        <v>1.024</v>
      </c>
      <c r="F17" s="138">
        <f>+F65</f>
        <v>0.94699999999999995</v>
      </c>
      <c r="G17" s="139" t="str">
        <f>+I65</f>
        <v/>
      </c>
      <c r="H17" s="389">
        <f>+IF(ISNUMBER('Cálculo Aforo'!AF38),'Cálculo Aforo'!AF38,"")</f>
        <v>1.0196666666666667</v>
      </c>
      <c r="I17" s="389">
        <f>+IF(ISNUMBER('Cálculo Aforo'!AG38),'Cálculo Aforo'!AG38,"")</f>
        <v>0.95366666666666655</v>
      </c>
      <c r="J17" s="389" t="str">
        <f>+IF(ISNUMBER('Cálculo Aforo'!AH38),'Cálculo Aforo'!AH38,"")</f>
        <v/>
      </c>
      <c r="K17" s="396">
        <f>+IF(ISNUMBER('Cálculo Aforo'!AI38),'Cálculo Aforo'!AI38,"")</f>
        <v>0.98666666666666658</v>
      </c>
      <c r="L17" s="386">
        <f>+IF(ISNUMBER('Cálculo Aforo'!G38),'Cálculo Aforo'!G38,"")</f>
        <v>0.1012</v>
      </c>
      <c r="M17" s="386">
        <f>+IF(ISNUMBER('Cálculo Aforo'!AJ38),'Cálculo Aforo'!AJ38,"")</f>
        <v>9.9850666666666657E-2</v>
      </c>
      <c r="N17" s="154"/>
      <c r="O17" s="158"/>
    </row>
    <row r="18" spans="1:15" x14ac:dyDescent="0.25">
      <c r="A18" s="153"/>
      <c r="B18" s="134">
        <f>+IF(ISNUMBER(C17),2,"")</f>
        <v>2</v>
      </c>
      <c r="C18" s="384"/>
      <c r="D18" s="384"/>
      <c r="E18" s="140">
        <f>+D65</f>
        <v>1.024</v>
      </c>
      <c r="F18" s="141">
        <f>+G65</f>
        <v>0.95499999999999996</v>
      </c>
      <c r="G18" s="142" t="str">
        <f>+J65</f>
        <v/>
      </c>
      <c r="H18" s="389"/>
      <c r="I18" s="389"/>
      <c r="J18" s="389"/>
      <c r="K18" s="397"/>
      <c r="L18" s="387"/>
      <c r="M18" s="387"/>
      <c r="N18" s="154"/>
      <c r="O18" s="158"/>
    </row>
    <row r="19" spans="1:15" x14ac:dyDescent="0.25">
      <c r="A19" s="153"/>
      <c r="B19" s="135">
        <f>+IF(ISNUMBER(C17),3,"")</f>
        <v>3</v>
      </c>
      <c r="C19" s="385"/>
      <c r="D19" s="385"/>
      <c r="E19" s="143">
        <f>+E65</f>
        <v>1.0109999999999999</v>
      </c>
      <c r="F19" s="144">
        <f>+H65</f>
        <v>0.95899999999999996</v>
      </c>
      <c r="G19" s="145" t="str">
        <f>+K65</f>
        <v/>
      </c>
      <c r="H19" s="389"/>
      <c r="I19" s="389"/>
      <c r="J19" s="389"/>
      <c r="K19" s="398"/>
      <c r="L19" s="388"/>
      <c r="M19" s="388"/>
      <c r="N19" s="154"/>
      <c r="O19" s="158"/>
    </row>
    <row r="20" spans="1:15" x14ac:dyDescent="0.25">
      <c r="A20" s="153"/>
      <c r="B20" s="133">
        <f>+IF(ISNUMBER(C20),1,"")</f>
        <v>1</v>
      </c>
      <c r="C20" s="383">
        <f>+IF(ISNUMBER('Cálculo Aforo'!B40),'Cálculo Aforo'!B40,"")</f>
        <v>6</v>
      </c>
      <c r="D20" s="383">
        <f>+IF(ISNUMBER('Cálculo Aforo'!E40),'Cálculo Aforo'!E40,"")</f>
        <v>0.46</v>
      </c>
      <c r="E20" s="137">
        <f>+C66</f>
        <v>0.871</v>
      </c>
      <c r="F20" s="138">
        <f>+F66</f>
        <v>0.91</v>
      </c>
      <c r="G20" s="139" t="str">
        <f>+I66</f>
        <v/>
      </c>
      <c r="H20" s="389">
        <f>+IF(ISNUMBER('Cálculo Aforo'!AF40),'Cálculo Aforo'!AF40,"")</f>
        <v>0.8743333333333333</v>
      </c>
      <c r="I20" s="389">
        <f>+IF(ISNUMBER('Cálculo Aforo'!AG40),'Cálculo Aforo'!AG40,"")</f>
        <v>0.90233333333333332</v>
      </c>
      <c r="J20" s="389" t="str">
        <f>+IF(ISNUMBER('Cálculo Aforo'!AH40),'Cálculo Aforo'!AH40,"")</f>
        <v/>
      </c>
      <c r="K20" s="396">
        <f>+IF(ISNUMBER('Cálculo Aforo'!AI40),'Cálculo Aforo'!AI40,"")</f>
        <v>0.88833333333333331</v>
      </c>
      <c r="L20" s="386">
        <f>+IF(ISNUMBER('Cálculo Aforo'!G40),'Cálculo Aforo'!G40,"")</f>
        <v>0.10120000000000004</v>
      </c>
      <c r="M20" s="386">
        <f>+IF(ISNUMBER('Cálculo Aforo'!AJ40),'Cálculo Aforo'!AJ40,"")</f>
        <v>8.9899333333333373E-2</v>
      </c>
      <c r="N20" s="154"/>
      <c r="O20" s="158"/>
    </row>
    <row r="21" spans="1:15" x14ac:dyDescent="0.25">
      <c r="A21" s="153"/>
      <c r="B21" s="134">
        <f>+IF(ISNUMBER(C20),2,"")</f>
        <v>2</v>
      </c>
      <c r="C21" s="384"/>
      <c r="D21" s="384"/>
      <c r="E21" s="140">
        <f>+D66</f>
        <v>0.88</v>
      </c>
      <c r="F21" s="141">
        <f>+G66</f>
        <v>0.89700000000000002</v>
      </c>
      <c r="G21" s="142" t="str">
        <f>+J66</f>
        <v/>
      </c>
      <c r="H21" s="389"/>
      <c r="I21" s="389"/>
      <c r="J21" s="389"/>
      <c r="K21" s="397"/>
      <c r="L21" s="387"/>
      <c r="M21" s="387"/>
      <c r="N21" s="154"/>
      <c r="O21" s="158"/>
    </row>
    <row r="22" spans="1:15" x14ac:dyDescent="0.25">
      <c r="A22" s="153"/>
      <c r="B22" s="135">
        <f>+IF(ISNUMBER(C20),3,"")</f>
        <v>3</v>
      </c>
      <c r="C22" s="385"/>
      <c r="D22" s="385"/>
      <c r="E22" s="143">
        <f>+E66</f>
        <v>0.872</v>
      </c>
      <c r="F22" s="144">
        <f>+H66</f>
        <v>0.9</v>
      </c>
      <c r="G22" s="145" t="str">
        <f>+K66</f>
        <v/>
      </c>
      <c r="H22" s="389"/>
      <c r="I22" s="389"/>
      <c r="J22" s="389"/>
      <c r="K22" s="398"/>
      <c r="L22" s="388"/>
      <c r="M22" s="388"/>
      <c r="N22" s="154"/>
      <c r="O22" s="158"/>
    </row>
    <row r="23" spans="1:15" x14ac:dyDescent="0.25">
      <c r="A23" s="153"/>
      <c r="B23" s="133" t="str">
        <f>+IF(ISNUMBER(C23),1,"")</f>
        <v/>
      </c>
      <c r="C23" s="383" t="str">
        <f>+IF(ISNUMBER('Cálculo Aforo'!B42),'Cálculo Aforo'!B42,"")</f>
        <v/>
      </c>
      <c r="D23" s="383">
        <f>+IF(ISNUMBER('Cálculo Aforo'!E42),'Cálculo Aforo'!E42,"")</f>
        <v>0.46</v>
      </c>
      <c r="E23" s="137" t="str">
        <f>+C67</f>
        <v/>
      </c>
      <c r="F23" s="138" t="str">
        <f>+F67</f>
        <v/>
      </c>
      <c r="G23" s="139" t="str">
        <f>+I67</f>
        <v/>
      </c>
      <c r="H23" s="389" t="str">
        <f>+IF(ISNUMBER('Cálculo Aforo'!AF42),'Cálculo Aforo'!AF42,"")</f>
        <v/>
      </c>
      <c r="I23" s="389" t="str">
        <f>+IF(ISNUMBER('Cálculo Aforo'!AG42),'Cálculo Aforo'!AG42,"")</f>
        <v/>
      </c>
      <c r="J23" s="389" t="str">
        <f>+IF(ISNUMBER('Cálculo Aforo'!AH42),'Cálculo Aforo'!AH42,"")</f>
        <v/>
      </c>
      <c r="K23" s="396" t="str">
        <f>+IF(ISNUMBER('Cálculo Aforo'!AI42),'Cálculo Aforo'!AI42,"")</f>
        <v/>
      </c>
      <c r="L23" s="386" t="str">
        <f>+IF(ISNUMBER('Cálculo Aforo'!G42),'Cálculo Aforo'!G42,"")</f>
        <v/>
      </c>
      <c r="M23" s="386" t="str">
        <f>+IF(ISNUMBER('Cálculo Aforo'!AJ42),'Cálculo Aforo'!AJ42,"")</f>
        <v/>
      </c>
      <c r="N23" s="154"/>
      <c r="O23" s="158"/>
    </row>
    <row r="24" spans="1:15" x14ac:dyDescent="0.25">
      <c r="A24" s="153"/>
      <c r="B24" s="134" t="str">
        <f>+IF(ISNUMBER(C23),2,"")</f>
        <v/>
      </c>
      <c r="C24" s="384"/>
      <c r="D24" s="384"/>
      <c r="E24" s="140" t="str">
        <f>+D67</f>
        <v/>
      </c>
      <c r="F24" s="141" t="str">
        <f>+G67</f>
        <v/>
      </c>
      <c r="G24" s="142" t="str">
        <f>+J67</f>
        <v/>
      </c>
      <c r="H24" s="389"/>
      <c r="I24" s="389"/>
      <c r="J24" s="389"/>
      <c r="K24" s="397"/>
      <c r="L24" s="387"/>
      <c r="M24" s="387"/>
      <c r="N24" s="154"/>
      <c r="O24" s="158"/>
    </row>
    <row r="25" spans="1:15" x14ac:dyDescent="0.25">
      <c r="A25" s="153"/>
      <c r="B25" s="135" t="str">
        <f>+IF(ISNUMBER(C23),3,"")</f>
        <v/>
      </c>
      <c r="C25" s="385"/>
      <c r="D25" s="385"/>
      <c r="E25" s="143" t="str">
        <f>+E67</f>
        <v/>
      </c>
      <c r="F25" s="144" t="str">
        <f>+H67</f>
        <v/>
      </c>
      <c r="G25" s="145" t="str">
        <f>+K67</f>
        <v/>
      </c>
      <c r="H25" s="389"/>
      <c r="I25" s="389"/>
      <c r="J25" s="389"/>
      <c r="K25" s="398"/>
      <c r="L25" s="388"/>
      <c r="M25" s="388"/>
      <c r="N25" s="154"/>
      <c r="O25" s="158"/>
    </row>
    <row r="26" spans="1:15" x14ac:dyDescent="0.25">
      <c r="A26" s="153"/>
      <c r="B26" s="133" t="str">
        <f>+IF(ISNUMBER(C26),1,"")</f>
        <v/>
      </c>
      <c r="C26" s="383" t="str">
        <f>+IF(ISNUMBER('Cálculo Aforo'!B44),'Cálculo Aforo'!B44,"")</f>
        <v/>
      </c>
      <c r="D26" s="383" t="str">
        <f>+IF(ISNUMBER('Cálculo Aforo'!E44),'Cálculo Aforo'!E44,"")</f>
        <v/>
      </c>
      <c r="E26" s="137" t="str">
        <f>+C68</f>
        <v/>
      </c>
      <c r="F26" s="138" t="str">
        <f>+F68</f>
        <v/>
      </c>
      <c r="G26" s="139" t="str">
        <f>+I68</f>
        <v/>
      </c>
      <c r="H26" s="389" t="str">
        <f>+IF(ISNUMBER('Cálculo Aforo'!AF44),'Cálculo Aforo'!AF44,"")</f>
        <v/>
      </c>
      <c r="I26" s="389" t="str">
        <f>+IF(ISNUMBER('Cálculo Aforo'!AG44),'Cálculo Aforo'!AG44,"")</f>
        <v/>
      </c>
      <c r="J26" s="389" t="str">
        <f>+IF(ISNUMBER('Cálculo Aforo'!AH44),'Cálculo Aforo'!AH44,"")</f>
        <v/>
      </c>
      <c r="K26" s="396" t="str">
        <f>+IF(ISNUMBER('Cálculo Aforo'!AI44),'Cálculo Aforo'!AI44,"")</f>
        <v/>
      </c>
      <c r="L26" s="386" t="str">
        <f>+IF(ISNUMBER('Cálculo Aforo'!G44),'Cálculo Aforo'!G44,"")</f>
        <v/>
      </c>
      <c r="M26" s="386" t="str">
        <f>+IF(ISNUMBER('Cálculo Aforo'!AJ44),'Cálculo Aforo'!AJ44,"")</f>
        <v/>
      </c>
      <c r="N26" s="154"/>
      <c r="O26" s="158"/>
    </row>
    <row r="27" spans="1:15" x14ac:dyDescent="0.25">
      <c r="A27" s="153"/>
      <c r="B27" s="134" t="str">
        <f>+IF(ISNUMBER(C26),2,"")</f>
        <v/>
      </c>
      <c r="C27" s="384"/>
      <c r="D27" s="384"/>
      <c r="E27" s="140" t="str">
        <f>+D68</f>
        <v/>
      </c>
      <c r="F27" s="141" t="str">
        <f>+G68</f>
        <v/>
      </c>
      <c r="G27" s="142" t="str">
        <f>+J68</f>
        <v/>
      </c>
      <c r="H27" s="389"/>
      <c r="I27" s="389"/>
      <c r="J27" s="389"/>
      <c r="K27" s="397"/>
      <c r="L27" s="387"/>
      <c r="M27" s="387"/>
      <c r="N27" s="154"/>
      <c r="O27" s="158"/>
    </row>
    <row r="28" spans="1:15" x14ac:dyDescent="0.25">
      <c r="A28" s="153"/>
      <c r="B28" s="135" t="str">
        <f>+IF(ISNUMBER(C26),3,"")</f>
        <v/>
      </c>
      <c r="C28" s="385"/>
      <c r="D28" s="385"/>
      <c r="E28" s="143" t="str">
        <f>+E68</f>
        <v/>
      </c>
      <c r="F28" s="144" t="str">
        <f>+H68</f>
        <v/>
      </c>
      <c r="G28" s="145" t="str">
        <f>+K68</f>
        <v/>
      </c>
      <c r="H28" s="389"/>
      <c r="I28" s="389"/>
      <c r="J28" s="389"/>
      <c r="K28" s="398"/>
      <c r="L28" s="388"/>
      <c r="M28" s="388"/>
      <c r="N28" s="154"/>
      <c r="O28" s="158"/>
    </row>
    <row r="29" spans="1:15" x14ac:dyDescent="0.25">
      <c r="A29" s="153"/>
      <c r="B29" s="133" t="str">
        <f>+IF(ISNUMBER(C29),1,"")</f>
        <v/>
      </c>
      <c r="C29" s="383" t="str">
        <f>+IF(ISNUMBER('Cálculo Aforo'!B46),'Cálculo Aforo'!B46,"")</f>
        <v/>
      </c>
      <c r="D29" s="383" t="str">
        <f>+IF(ISNUMBER('Cálculo Aforo'!E46),'Cálculo Aforo'!E46,"")</f>
        <v/>
      </c>
      <c r="E29" s="137" t="str">
        <f>+C69</f>
        <v/>
      </c>
      <c r="F29" s="138" t="str">
        <f>+F69</f>
        <v/>
      </c>
      <c r="G29" s="139" t="str">
        <f>+I69</f>
        <v/>
      </c>
      <c r="H29" s="389" t="str">
        <f>+IF(ISNUMBER('Cálculo Aforo'!AF46),'Cálculo Aforo'!AF46,"")</f>
        <v/>
      </c>
      <c r="I29" s="389" t="str">
        <f>+IF(ISNUMBER('Cálculo Aforo'!AG46),'Cálculo Aforo'!AG46,"")</f>
        <v/>
      </c>
      <c r="J29" s="389" t="str">
        <f>+IF(ISNUMBER('Cálculo Aforo'!AH46),'Cálculo Aforo'!AH46,"")</f>
        <v/>
      </c>
      <c r="K29" s="396" t="str">
        <f>+IF(ISNUMBER('Cálculo Aforo'!AI46),'Cálculo Aforo'!AI46,"")</f>
        <v/>
      </c>
      <c r="L29" s="386" t="str">
        <f>+IF(ISNUMBER('Cálculo Aforo'!G46),'Cálculo Aforo'!G46,"")</f>
        <v/>
      </c>
      <c r="M29" s="386" t="str">
        <f>+IF(ISNUMBER('Cálculo Aforo'!AJ46),'Cálculo Aforo'!AJ46,"")</f>
        <v/>
      </c>
      <c r="N29" s="154"/>
      <c r="O29" s="158"/>
    </row>
    <row r="30" spans="1:15" x14ac:dyDescent="0.25">
      <c r="A30" s="153"/>
      <c r="B30" s="134" t="str">
        <f>+IF(ISNUMBER(C29),2,"")</f>
        <v/>
      </c>
      <c r="C30" s="384"/>
      <c r="D30" s="384"/>
      <c r="E30" s="140" t="str">
        <f>+D69</f>
        <v/>
      </c>
      <c r="F30" s="141" t="str">
        <f>+G69</f>
        <v/>
      </c>
      <c r="G30" s="142" t="str">
        <f>+J69</f>
        <v/>
      </c>
      <c r="H30" s="389"/>
      <c r="I30" s="389"/>
      <c r="J30" s="389"/>
      <c r="K30" s="397"/>
      <c r="L30" s="387"/>
      <c r="M30" s="387"/>
      <c r="N30" s="154"/>
      <c r="O30" s="158"/>
    </row>
    <row r="31" spans="1:15" x14ac:dyDescent="0.25">
      <c r="A31" s="153"/>
      <c r="B31" s="135" t="str">
        <f>+IF(ISNUMBER(C29),3,"")</f>
        <v/>
      </c>
      <c r="C31" s="385"/>
      <c r="D31" s="385"/>
      <c r="E31" s="143" t="str">
        <f>+E69</f>
        <v/>
      </c>
      <c r="F31" s="144" t="str">
        <f>+H69</f>
        <v/>
      </c>
      <c r="G31" s="145" t="str">
        <f>+K69</f>
        <v/>
      </c>
      <c r="H31" s="389"/>
      <c r="I31" s="389"/>
      <c r="J31" s="389"/>
      <c r="K31" s="398"/>
      <c r="L31" s="388"/>
      <c r="M31" s="388"/>
      <c r="N31" s="154"/>
      <c r="O31" s="158"/>
    </row>
    <row r="32" spans="1:15" x14ac:dyDescent="0.25">
      <c r="A32" s="153"/>
      <c r="B32" s="133" t="str">
        <f>+IF(ISNUMBER(C32),1,"")</f>
        <v/>
      </c>
      <c r="C32" s="383" t="str">
        <f>+IF(ISNUMBER('Cálculo Aforo'!B48),'Cálculo Aforo'!B48,"")</f>
        <v/>
      </c>
      <c r="D32" s="383" t="str">
        <f>+IF(ISNUMBER('Cálculo Aforo'!E48),'Cálculo Aforo'!E48,"")</f>
        <v/>
      </c>
      <c r="E32" s="137" t="str">
        <f>+C70</f>
        <v/>
      </c>
      <c r="F32" s="138" t="str">
        <f>+F70</f>
        <v/>
      </c>
      <c r="G32" s="139" t="str">
        <f>+I70</f>
        <v/>
      </c>
      <c r="H32" s="389" t="str">
        <f>+IF(ISNUMBER('Cálculo Aforo'!AF48),'Cálculo Aforo'!AF48,"")</f>
        <v/>
      </c>
      <c r="I32" s="389" t="str">
        <f>+IF(ISNUMBER('Cálculo Aforo'!AG48),'Cálculo Aforo'!AG48,"")</f>
        <v/>
      </c>
      <c r="J32" s="389" t="str">
        <f>+IF(ISNUMBER('Cálculo Aforo'!AH48),'Cálculo Aforo'!AH48,"")</f>
        <v/>
      </c>
      <c r="K32" s="396" t="str">
        <f>+IF(ISNUMBER('Cálculo Aforo'!AI48),'Cálculo Aforo'!AI48,"")</f>
        <v/>
      </c>
      <c r="L32" s="386" t="str">
        <f>+IF(ISNUMBER('Cálculo Aforo'!G48),'Cálculo Aforo'!G48,"")</f>
        <v/>
      </c>
      <c r="M32" s="386" t="str">
        <f>+IF(ISNUMBER('Cálculo Aforo'!AJ48),'Cálculo Aforo'!AJ48,"")</f>
        <v/>
      </c>
      <c r="N32" s="154"/>
      <c r="O32" s="158"/>
    </row>
    <row r="33" spans="1:15" x14ac:dyDescent="0.25">
      <c r="A33" s="153"/>
      <c r="B33" s="134" t="str">
        <f>+IF(ISNUMBER(C32),2,"")</f>
        <v/>
      </c>
      <c r="C33" s="384"/>
      <c r="D33" s="384"/>
      <c r="E33" s="140" t="str">
        <f>+D70</f>
        <v/>
      </c>
      <c r="F33" s="141" t="str">
        <f>+G70</f>
        <v/>
      </c>
      <c r="G33" s="142" t="str">
        <f>+J70</f>
        <v/>
      </c>
      <c r="H33" s="389"/>
      <c r="I33" s="389"/>
      <c r="J33" s="389"/>
      <c r="K33" s="397"/>
      <c r="L33" s="387"/>
      <c r="M33" s="387"/>
      <c r="N33" s="154"/>
      <c r="O33" s="158"/>
    </row>
    <row r="34" spans="1:15" x14ac:dyDescent="0.25">
      <c r="A34" s="153"/>
      <c r="B34" s="135" t="str">
        <f>+IF(ISNUMBER(C32),3,"")</f>
        <v/>
      </c>
      <c r="C34" s="385"/>
      <c r="D34" s="385"/>
      <c r="E34" s="143" t="str">
        <f>+E70</f>
        <v/>
      </c>
      <c r="F34" s="144" t="str">
        <f>+H70</f>
        <v/>
      </c>
      <c r="G34" s="145" t="str">
        <f>+K70</f>
        <v/>
      </c>
      <c r="H34" s="389"/>
      <c r="I34" s="389"/>
      <c r="J34" s="389"/>
      <c r="K34" s="398"/>
      <c r="L34" s="388"/>
      <c r="M34" s="388"/>
      <c r="N34" s="154"/>
      <c r="O34" s="158"/>
    </row>
    <row r="35" spans="1:15" x14ac:dyDescent="0.25">
      <c r="A35" s="153"/>
      <c r="B35" s="133" t="str">
        <f>+IF(ISNUMBER(C35),1,"")</f>
        <v/>
      </c>
      <c r="C35" s="383" t="str">
        <f>+IF(ISNUMBER('Cálculo Aforo'!B50),'Cálculo Aforo'!B50,"")</f>
        <v/>
      </c>
      <c r="D35" s="383" t="str">
        <f>+IF(ISNUMBER('Cálculo Aforo'!E50),'Cálculo Aforo'!E50,"")</f>
        <v/>
      </c>
      <c r="E35" s="137" t="str">
        <f>+C71</f>
        <v/>
      </c>
      <c r="F35" s="138" t="str">
        <f>+F71</f>
        <v/>
      </c>
      <c r="G35" s="139" t="str">
        <f>+I71</f>
        <v/>
      </c>
      <c r="H35" s="389" t="str">
        <f>+IF(ISNUMBER('Cálculo Aforo'!AF50),'Cálculo Aforo'!AF50,"")</f>
        <v/>
      </c>
      <c r="I35" s="389" t="str">
        <f>+IF(ISNUMBER('Cálculo Aforo'!AG50),'Cálculo Aforo'!AG50,"")</f>
        <v/>
      </c>
      <c r="J35" s="389" t="str">
        <f>+IF(ISNUMBER('Cálculo Aforo'!AH50),'Cálculo Aforo'!AH50,"")</f>
        <v/>
      </c>
      <c r="K35" s="396" t="str">
        <f>+IF(ISNUMBER('Cálculo Aforo'!AI50),'Cálculo Aforo'!AI50,"")</f>
        <v/>
      </c>
      <c r="L35" s="386" t="str">
        <f>+IF(ISNUMBER('Cálculo Aforo'!G50),'Cálculo Aforo'!G50,"")</f>
        <v/>
      </c>
      <c r="M35" s="386" t="str">
        <f>+IF(ISNUMBER('Cálculo Aforo'!AJ50),'Cálculo Aforo'!AJ50,"")</f>
        <v/>
      </c>
      <c r="N35" s="154"/>
      <c r="O35" s="158"/>
    </row>
    <row r="36" spans="1:15" x14ac:dyDescent="0.25">
      <c r="A36" s="153"/>
      <c r="B36" s="134" t="str">
        <f>+IF(ISNUMBER(C35),2,"")</f>
        <v/>
      </c>
      <c r="C36" s="384"/>
      <c r="D36" s="384"/>
      <c r="E36" s="140" t="str">
        <f>+D71</f>
        <v/>
      </c>
      <c r="F36" s="141" t="str">
        <f>+G71</f>
        <v/>
      </c>
      <c r="G36" s="142" t="str">
        <f>+J71</f>
        <v/>
      </c>
      <c r="H36" s="389"/>
      <c r="I36" s="389"/>
      <c r="J36" s="389"/>
      <c r="K36" s="397"/>
      <c r="L36" s="387"/>
      <c r="M36" s="387"/>
      <c r="N36" s="154"/>
      <c r="O36" s="158"/>
    </row>
    <row r="37" spans="1:15" x14ac:dyDescent="0.25">
      <c r="A37" s="153"/>
      <c r="B37" s="135" t="str">
        <f>+IF(ISNUMBER(C35),3,"")</f>
        <v/>
      </c>
      <c r="C37" s="385"/>
      <c r="D37" s="385"/>
      <c r="E37" s="143" t="str">
        <f>+E71</f>
        <v/>
      </c>
      <c r="F37" s="144" t="str">
        <f>+H71</f>
        <v/>
      </c>
      <c r="G37" s="145" t="str">
        <f>+K71</f>
        <v/>
      </c>
      <c r="H37" s="389"/>
      <c r="I37" s="389"/>
      <c r="J37" s="389"/>
      <c r="K37" s="398"/>
      <c r="L37" s="388"/>
      <c r="M37" s="388"/>
      <c r="N37" s="154"/>
      <c r="O37" s="158"/>
    </row>
    <row r="38" spans="1:15" x14ac:dyDescent="0.25">
      <c r="A38" s="153"/>
      <c r="B38" s="133" t="str">
        <f>+IF(ISNUMBER(C38),1,"")</f>
        <v/>
      </c>
      <c r="C38" s="383" t="str">
        <f>+IF(ISNUMBER('Cálculo Aforo'!B52),'Cálculo Aforo'!B52,"")</f>
        <v/>
      </c>
      <c r="D38" s="383" t="str">
        <f>+IF(ISNUMBER('Cálculo Aforo'!E52),'Cálculo Aforo'!E52,"")</f>
        <v/>
      </c>
      <c r="E38" s="137" t="str">
        <f>+C72</f>
        <v/>
      </c>
      <c r="F38" s="138" t="str">
        <f>+F72</f>
        <v/>
      </c>
      <c r="G38" s="139" t="str">
        <f>+I72</f>
        <v/>
      </c>
      <c r="H38" s="389" t="str">
        <f>+IF(ISNUMBER('Cálculo Aforo'!AF52),'Cálculo Aforo'!AF52,"")</f>
        <v/>
      </c>
      <c r="I38" s="389" t="str">
        <f>+IF(ISNUMBER('Cálculo Aforo'!AG52),'Cálculo Aforo'!AG52,"")</f>
        <v/>
      </c>
      <c r="J38" s="389" t="str">
        <f>+IF(ISNUMBER('Cálculo Aforo'!AH52),'Cálculo Aforo'!AH52,"")</f>
        <v/>
      </c>
      <c r="K38" s="396" t="str">
        <f>+IF(ISNUMBER('Cálculo Aforo'!AI52),'Cálculo Aforo'!AI52,"")</f>
        <v/>
      </c>
      <c r="L38" s="386" t="str">
        <f>+IF(ISNUMBER('Cálculo Aforo'!G52),'Cálculo Aforo'!G52,"")</f>
        <v/>
      </c>
      <c r="M38" s="386" t="str">
        <f>+IF(ISNUMBER('Cálculo Aforo'!AJ52),'Cálculo Aforo'!AJ52,"")</f>
        <v/>
      </c>
      <c r="N38" s="154"/>
      <c r="O38" s="158"/>
    </row>
    <row r="39" spans="1:15" x14ac:dyDescent="0.25">
      <c r="A39" s="153"/>
      <c r="B39" s="134" t="str">
        <f>+IF(ISNUMBER(C38),2,"")</f>
        <v/>
      </c>
      <c r="C39" s="384"/>
      <c r="D39" s="384"/>
      <c r="E39" s="140" t="str">
        <f>+D72</f>
        <v/>
      </c>
      <c r="F39" s="141" t="str">
        <f>+G72</f>
        <v/>
      </c>
      <c r="G39" s="142" t="str">
        <f>+J72</f>
        <v/>
      </c>
      <c r="H39" s="389"/>
      <c r="I39" s="389"/>
      <c r="J39" s="389"/>
      <c r="K39" s="397"/>
      <c r="L39" s="387"/>
      <c r="M39" s="387"/>
      <c r="N39" s="154"/>
      <c r="O39" s="158"/>
    </row>
    <row r="40" spans="1:15" x14ac:dyDescent="0.25">
      <c r="A40" s="153"/>
      <c r="B40" s="135" t="str">
        <f>+IF(ISNUMBER(C38),3,"")</f>
        <v/>
      </c>
      <c r="C40" s="385"/>
      <c r="D40" s="385"/>
      <c r="E40" s="143" t="str">
        <f>+E72</f>
        <v/>
      </c>
      <c r="F40" s="144" t="str">
        <f>+H72</f>
        <v/>
      </c>
      <c r="G40" s="145" t="str">
        <f>+K72</f>
        <v/>
      </c>
      <c r="H40" s="389"/>
      <c r="I40" s="389"/>
      <c r="J40" s="389"/>
      <c r="K40" s="398"/>
      <c r="L40" s="388"/>
      <c r="M40" s="388"/>
      <c r="N40" s="154"/>
      <c r="O40" s="158"/>
    </row>
    <row r="41" spans="1:15" x14ac:dyDescent="0.25">
      <c r="A41" s="153"/>
      <c r="B41" s="133" t="str">
        <f>+IF(ISNUMBER(C41),1,"")</f>
        <v/>
      </c>
      <c r="C41" s="383" t="str">
        <f>+IF(ISNUMBER('Cálculo Aforo'!B54),'Cálculo Aforo'!B54,"")</f>
        <v/>
      </c>
      <c r="D41" s="383" t="str">
        <f>+IF(ISNUMBER('Cálculo Aforo'!E54),'Cálculo Aforo'!E54,"")</f>
        <v/>
      </c>
      <c r="E41" s="137" t="str">
        <f>+C73</f>
        <v/>
      </c>
      <c r="F41" s="138" t="str">
        <f>+F73</f>
        <v/>
      </c>
      <c r="G41" s="139" t="str">
        <f>+I73</f>
        <v/>
      </c>
      <c r="H41" s="389" t="str">
        <f>+IF(ISNUMBER('Cálculo Aforo'!AF54),'Cálculo Aforo'!AF54,"")</f>
        <v/>
      </c>
      <c r="I41" s="389" t="str">
        <f>+IF(ISNUMBER('Cálculo Aforo'!AG54),'Cálculo Aforo'!AG54,"")</f>
        <v/>
      </c>
      <c r="J41" s="389" t="str">
        <f>+IF(ISNUMBER('Cálculo Aforo'!AH54),'Cálculo Aforo'!AH54,"")</f>
        <v/>
      </c>
      <c r="K41" s="396" t="str">
        <f>+IF(ISNUMBER('Cálculo Aforo'!AI54),'Cálculo Aforo'!AI54,"")</f>
        <v/>
      </c>
      <c r="L41" s="386" t="str">
        <f>+IF(ISNUMBER('Cálculo Aforo'!G54),'Cálculo Aforo'!G54,"")</f>
        <v/>
      </c>
      <c r="M41" s="386" t="str">
        <f>+IF(ISNUMBER('Cálculo Aforo'!AJ54),'Cálculo Aforo'!AJ54,"")</f>
        <v/>
      </c>
      <c r="N41" s="154"/>
      <c r="O41" s="158"/>
    </row>
    <row r="42" spans="1:15" x14ac:dyDescent="0.25">
      <c r="A42" s="153"/>
      <c r="B42" s="134" t="str">
        <f>+IF(ISNUMBER(C41),2,"")</f>
        <v/>
      </c>
      <c r="C42" s="384"/>
      <c r="D42" s="384"/>
      <c r="E42" s="140" t="str">
        <f>+D73</f>
        <v/>
      </c>
      <c r="F42" s="141" t="str">
        <f>+G73</f>
        <v/>
      </c>
      <c r="G42" s="142" t="str">
        <f>+J73</f>
        <v/>
      </c>
      <c r="H42" s="389"/>
      <c r="I42" s="389"/>
      <c r="J42" s="389"/>
      <c r="K42" s="397"/>
      <c r="L42" s="387"/>
      <c r="M42" s="387"/>
      <c r="N42" s="154"/>
      <c r="O42" s="158"/>
    </row>
    <row r="43" spans="1:15" x14ac:dyDescent="0.25">
      <c r="A43" s="153"/>
      <c r="B43" s="135" t="str">
        <f>+IF(ISNUMBER(C41),3,"")</f>
        <v/>
      </c>
      <c r="C43" s="385"/>
      <c r="D43" s="385"/>
      <c r="E43" s="143" t="str">
        <f>+E73</f>
        <v/>
      </c>
      <c r="F43" s="144" t="str">
        <f>+H73</f>
        <v/>
      </c>
      <c r="G43" s="145" t="str">
        <f>+K73</f>
        <v/>
      </c>
      <c r="H43" s="389"/>
      <c r="I43" s="389"/>
      <c r="J43" s="389"/>
      <c r="K43" s="398"/>
      <c r="L43" s="388"/>
      <c r="M43" s="388"/>
      <c r="N43" s="154"/>
      <c r="O43" s="158"/>
    </row>
    <row r="44" spans="1:15" x14ac:dyDescent="0.25">
      <c r="A44" s="153"/>
      <c r="B44" s="133" t="str">
        <f>+IF(ISNUMBER(C44),1,"")</f>
        <v/>
      </c>
      <c r="C44" s="383" t="str">
        <f>+IF(ISNUMBER('Cálculo Aforo'!B56),'Cálculo Aforo'!B56,"")</f>
        <v/>
      </c>
      <c r="D44" s="383" t="str">
        <f>+IF(ISNUMBER('Cálculo Aforo'!E56),'Cálculo Aforo'!E56,"")</f>
        <v/>
      </c>
      <c r="E44" s="137" t="str">
        <f>+C74</f>
        <v/>
      </c>
      <c r="F44" s="138" t="str">
        <f>+F74</f>
        <v/>
      </c>
      <c r="G44" s="139" t="str">
        <f>+I74</f>
        <v/>
      </c>
      <c r="H44" s="389" t="str">
        <f>+IF(ISNUMBER('Cálculo Aforo'!AF56),'Cálculo Aforo'!AF56,"")</f>
        <v/>
      </c>
      <c r="I44" s="389" t="str">
        <f>+IF(ISNUMBER('Cálculo Aforo'!AG56),'Cálculo Aforo'!AG56,"")</f>
        <v/>
      </c>
      <c r="J44" s="389" t="str">
        <f>+IF(ISNUMBER('Cálculo Aforo'!AH56),'Cálculo Aforo'!AH56,"")</f>
        <v/>
      </c>
      <c r="K44" s="396" t="str">
        <f>+IF(ISNUMBER('Cálculo Aforo'!AI56),'Cálculo Aforo'!AI56,"")</f>
        <v/>
      </c>
      <c r="L44" s="386" t="str">
        <f>+IF(ISNUMBER('Cálculo Aforo'!G56),'Cálculo Aforo'!G56,"")</f>
        <v/>
      </c>
      <c r="M44" s="386" t="str">
        <f>+IF(ISNUMBER('Cálculo Aforo'!AJ56),'Cálculo Aforo'!AJ56,"")</f>
        <v/>
      </c>
      <c r="N44" s="154"/>
      <c r="O44" s="158"/>
    </row>
    <row r="45" spans="1:15" x14ac:dyDescent="0.25">
      <c r="A45" s="153"/>
      <c r="B45" s="134" t="str">
        <f>+IF(ISNUMBER(C44),2,"")</f>
        <v/>
      </c>
      <c r="C45" s="384"/>
      <c r="D45" s="384"/>
      <c r="E45" s="140" t="str">
        <f>+D74</f>
        <v/>
      </c>
      <c r="F45" s="141" t="str">
        <f>+G74</f>
        <v/>
      </c>
      <c r="G45" s="142" t="str">
        <f>+J74</f>
        <v/>
      </c>
      <c r="H45" s="389"/>
      <c r="I45" s="389"/>
      <c r="J45" s="389"/>
      <c r="K45" s="397"/>
      <c r="L45" s="387"/>
      <c r="M45" s="387"/>
      <c r="N45" s="154"/>
      <c r="O45" s="158"/>
    </row>
    <row r="46" spans="1:15" x14ac:dyDescent="0.25">
      <c r="A46" s="153"/>
      <c r="B46" s="135" t="str">
        <f>+IF(ISNUMBER(C44),3,"")</f>
        <v/>
      </c>
      <c r="C46" s="385"/>
      <c r="D46" s="385"/>
      <c r="E46" s="143" t="str">
        <f>+E74</f>
        <v/>
      </c>
      <c r="F46" s="144" t="str">
        <f>+H74</f>
        <v/>
      </c>
      <c r="G46" s="145" t="str">
        <f>+K74</f>
        <v/>
      </c>
      <c r="H46" s="389"/>
      <c r="I46" s="389"/>
      <c r="J46" s="389"/>
      <c r="K46" s="398"/>
      <c r="L46" s="388"/>
      <c r="M46" s="388"/>
      <c r="N46" s="154"/>
      <c r="O46" s="158"/>
    </row>
    <row r="47" spans="1:15" x14ac:dyDescent="0.25">
      <c r="A47" s="153"/>
      <c r="B47" s="133" t="str">
        <f>+IF(ISNUMBER(C47),1,"")</f>
        <v/>
      </c>
      <c r="C47" s="383" t="str">
        <f>+IF(ISNUMBER('Cálculo Aforo'!B58),'Cálculo Aforo'!B58,"")</f>
        <v/>
      </c>
      <c r="D47" s="383" t="str">
        <f>+IF(ISNUMBER('Cálculo Aforo'!E58),'Cálculo Aforo'!E58,"")</f>
        <v/>
      </c>
      <c r="E47" s="137" t="str">
        <f>+C75</f>
        <v/>
      </c>
      <c r="F47" s="138" t="str">
        <f>+F75</f>
        <v/>
      </c>
      <c r="G47" s="139" t="str">
        <f>+I75</f>
        <v/>
      </c>
      <c r="H47" s="389" t="str">
        <f>+IF(ISNUMBER('Cálculo Aforo'!AF58),'Cálculo Aforo'!AF58,"")</f>
        <v/>
      </c>
      <c r="I47" s="389" t="str">
        <f>+IF(ISNUMBER('Cálculo Aforo'!AG58),'Cálculo Aforo'!AG58,"")</f>
        <v/>
      </c>
      <c r="J47" s="389" t="str">
        <f>+IF(ISNUMBER('Cálculo Aforo'!AH58),'Cálculo Aforo'!AH58,"")</f>
        <v/>
      </c>
      <c r="K47" s="396" t="str">
        <f>+IF(ISNUMBER('Cálculo Aforo'!AI58),'Cálculo Aforo'!AI58,"")</f>
        <v/>
      </c>
      <c r="L47" s="386" t="str">
        <f>+IF(ISNUMBER('Cálculo Aforo'!G58),'Cálculo Aforo'!G58,"")</f>
        <v/>
      </c>
      <c r="M47" s="386" t="str">
        <f>+IF(ISNUMBER('Cálculo Aforo'!AJ58),'Cálculo Aforo'!AJ58,"")</f>
        <v/>
      </c>
      <c r="N47" s="154"/>
      <c r="O47" s="158"/>
    </row>
    <row r="48" spans="1:15" x14ac:dyDescent="0.25">
      <c r="A48" s="153"/>
      <c r="B48" s="134" t="str">
        <f>+IF(ISNUMBER(C47),2,"")</f>
        <v/>
      </c>
      <c r="C48" s="384"/>
      <c r="D48" s="384"/>
      <c r="E48" s="140" t="str">
        <f>+D75</f>
        <v/>
      </c>
      <c r="F48" s="141" t="str">
        <f>+G75</f>
        <v/>
      </c>
      <c r="G48" s="142" t="str">
        <f>+J75</f>
        <v/>
      </c>
      <c r="H48" s="389"/>
      <c r="I48" s="389"/>
      <c r="J48" s="389"/>
      <c r="K48" s="397"/>
      <c r="L48" s="387"/>
      <c r="M48" s="387"/>
      <c r="N48" s="154"/>
      <c r="O48" s="158"/>
    </row>
    <row r="49" spans="1:15" x14ac:dyDescent="0.25">
      <c r="A49" s="153"/>
      <c r="B49" s="135" t="str">
        <f>+IF(ISNUMBER(C47),3,"")</f>
        <v/>
      </c>
      <c r="C49" s="385"/>
      <c r="D49" s="385"/>
      <c r="E49" s="143" t="str">
        <f>+E75</f>
        <v/>
      </c>
      <c r="F49" s="144" t="str">
        <f>+H75</f>
        <v/>
      </c>
      <c r="G49" s="145" t="str">
        <f>+K75</f>
        <v/>
      </c>
      <c r="H49" s="389"/>
      <c r="I49" s="389"/>
      <c r="J49" s="389"/>
      <c r="K49" s="398"/>
      <c r="L49" s="388"/>
      <c r="M49" s="388"/>
      <c r="N49" s="154"/>
      <c r="O49" s="158"/>
    </row>
    <row r="50" spans="1:15" x14ac:dyDescent="0.25">
      <c r="A50" s="153"/>
      <c r="B50" s="133" t="str">
        <f>+IF(ISNUMBER(C50),1,"")</f>
        <v/>
      </c>
      <c r="C50" s="383" t="str">
        <f>+IF(ISNUMBER('Cálculo Aforo'!B60),'Cálculo Aforo'!B60,"")</f>
        <v/>
      </c>
      <c r="D50" s="383" t="str">
        <f>+IF(ISNUMBER('Cálculo Aforo'!E60),'Cálculo Aforo'!E60,"")</f>
        <v/>
      </c>
      <c r="E50" s="137" t="str">
        <f>+C76</f>
        <v/>
      </c>
      <c r="F50" s="138" t="str">
        <f>+F76</f>
        <v/>
      </c>
      <c r="G50" s="139" t="str">
        <f>+I76</f>
        <v/>
      </c>
      <c r="H50" s="389" t="str">
        <f>+IF(ISNUMBER('Cálculo Aforo'!AF60),'Cálculo Aforo'!AF60,"")</f>
        <v/>
      </c>
      <c r="I50" s="389" t="str">
        <f>+IF(ISNUMBER('Cálculo Aforo'!AG60),'Cálculo Aforo'!AG60,"")</f>
        <v/>
      </c>
      <c r="J50" s="389" t="str">
        <f>+IF(ISNUMBER('Cálculo Aforo'!AH60),'Cálculo Aforo'!AH60,"")</f>
        <v/>
      </c>
      <c r="K50" s="396" t="str">
        <f>+IF(ISNUMBER('Cálculo Aforo'!AI60),'Cálculo Aforo'!AI60,"")</f>
        <v/>
      </c>
      <c r="L50" s="386" t="str">
        <f>+IF(ISNUMBER('Cálculo Aforo'!G60),'Cálculo Aforo'!G60,"")</f>
        <v/>
      </c>
      <c r="M50" s="386" t="str">
        <f>+IF(ISNUMBER('Cálculo Aforo'!AJ60),'Cálculo Aforo'!AJ60,"")</f>
        <v/>
      </c>
      <c r="N50" s="154"/>
      <c r="O50" s="158"/>
    </row>
    <row r="51" spans="1:15" x14ac:dyDescent="0.25">
      <c r="A51" s="153"/>
      <c r="B51" s="134" t="str">
        <f>+IF(ISNUMBER(C50),2,"")</f>
        <v/>
      </c>
      <c r="C51" s="384"/>
      <c r="D51" s="384"/>
      <c r="E51" s="140" t="str">
        <f>+D76</f>
        <v/>
      </c>
      <c r="F51" s="141" t="str">
        <f>+G76</f>
        <v/>
      </c>
      <c r="G51" s="142" t="str">
        <f>+J76</f>
        <v/>
      </c>
      <c r="H51" s="389"/>
      <c r="I51" s="389"/>
      <c r="J51" s="389"/>
      <c r="K51" s="397"/>
      <c r="L51" s="387"/>
      <c r="M51" s="387"/>
      <c r="N51" s="154"/>
      <c r="O51" s="158"/>
    </row>
    <row r="52" spans="1:15" x14ac:dyDescent="0.25">
      <c r="A52" s="153"/>
      <c r="B52" s="135" t="str">
        <f>+IF(ISNUMBER(C50),3,"")</f>
        <v/>
      </c>
      <c r="C52" s="385"/>
      <c r="D52" s="385"/>
      <c r="E52" s="143" t="str">
        <f>+E76</f>
        <v/>
      </c>
      <c r="F52" s="144" t="str">
        <f>+H76</f>
        <v/>
      </c>
      <c r="G52" s="145" t="str">
        <f>+K76</f>
        <v/>
      </c>
      <c r="H52" s="389"/>
      <c r="I52" s="389"/>
      <c r="J52" s="389"/>
      <c r="K52" s="398"/>
      <c r="L52" s="388"/>
      <c r="M52" s="388"/>
      <c r="N52" s="154"/>
      <c r="O52" s="158"/>
    </row>
    <row r="53" spans="1:15" x14ac:dyDescent="0.25">
      <c r="A53" s="153"/>
      <c r="B53" s="203">
        <v>1</v>
      </c>
      <c r="C53" s="199"/>
      <c r="D53" s="199"/>
      <c r="E53" s="199"/>
      <c r="F53" s="199"/>
      <c r="G53" s="199"/>
      <c r="H53" s="199"/>
      <c r="I53" s="199"/>
      <c r="J53" s="199"/>
      <c r="K53" s="200"/>
      <c r="L53" s="390" t="s">
        <v>110</v>
      </c>
      <c r="M53" s="393">
        <f>+SUM(M5:M52)</f>
        <v>0.55948980833333339</v>
      </c>
      <c r="N53" s="154"/>
      <c r="O53" s="158"/>
    </row>
    <row r="54" spans="1:15" x14ac:dyDescent="0.25">
      <c r="A54" s="153"/>
      <c r="B54" s="204">
        <v>2</v>
      </c>
      <c r="C54" s="201"/>
      <c r="D54" s="201"/>
      <c r="E54" s="201"/>
      <c r="F54" s="201"/>
      <c r="G54" s="201"/>
      <c r="H54" s="201"/>
      <c r="I54" s="201"/>
      <c r="J54" s="201"/>
      <c r="K54" s="202"/>
      <c r="L54" s="391"/>
      <c r="M54" s="394"/>
      <c r="N54" s="154"/>
      <c r="O54" s="158"/>
    </row>
    <row r="55" spans="1:15" x14ac:dyDescent="0.25">
      <c r="A55" s="153"/>
      <c r="B55" s="204">
        <v>3</v>
      </c>
      <c r="C55" s="201"/>
      <c r="D55" s="201"/>
      <c r="E55" s="201"/>
      <c r="F55" s="201"/>
      <c r="G55" s="201"/>
      <c r="H55" s="201"/>
      <c r="I55" s="201"/>
      <c r="J55" s="201"/>
      <c r="K55" s="202"/>
      <c r="L55" s="392"/>
      <c r="M55" s="395"/>
      <c r="N55" s="154"/>
      <c r="O55" s="158"/>
    </row>
    <row r="56" spans="1:15" x14ac:dyDescent="0.25">
      <c r="A56" s="153"/>
      <c r="B56" s="204"/>
      <c r="C56" s="146"/>
      <c r="D56" s="146"/>
      <c r="E56" s="146"/>
      <c r="F56" s="146"/>
      <c r="G56" s="146"/>
      <c r="H56" s="146"/>
      <c r="I56" s="146"/>
      <c r="J56" s="146"/>
      <c r="K56" s="146"/>
      <c r="L56" s="146"/>
      <c r="M56" s="146"/>
      <c r="N56" s="154"/>
      <c r="O56" s="158"/>
    </row>
    <row r="57" spans="1:15" ht="15.75" thickBot="1" x14ac:dyDescent="0.3">
      <c r="A57" s="155"/>
      <c r="B57" s="156"/>
      <c r="C57" s="156"/>
      <c r="D57" s="156"/>
      <c r="E57" s="156"/>
      <c r="F57" s="156"/>
      <c r="G57" s="156"/>
      <c r="H57" s="156"/>
      <c r="I57" s="156"/>
      <c r="J57" s="156"/>
      <c r="K57" s="156"/>
      <c r="L57" s="156"/>
      <c r="M57" s="156"/>
      <c r="N57" s="157"/>
      <c r="O57" s="158"/>
    </row>
    <row r="59" spans="1:15" ht="15" hidden="1" customHeight="1" x14ac:dyDescent="0.25">
      <c r="A59" s="158"/>
      <c r="B59" s="158"/>
      <c r="C59" s="158" t="s">
        <v>10</v>
      </c>
      <c r="D59" s="158"/>
      <c r="E59" s="158"/>
      <c r="F59" s="158"/>
      <c r="G59" s="158"/>
      <c r="H59" s="158"/>
      <c r="I59" s="158"/>
      <c r="J59" s="158"/>
      <c r="K59" s="158"/>
      <c r="L59" s="158"/>
      <c r="M59" s="158"/>
      <c r="N59" s="158"/>
      <c r="O59" s="158"/>
    </row>
    <row r="60" spans="1:15" ht="15" hidden="1" customHeight="1" x14ac:dyDescent="0.25">
      <c r="A60" s="158"/>
      <c r="B60" s="158"/>
      <c r="C60" s="158" t="s">
        <v>16</v>
      </c>
      <c r="D60" s="158" t="s">
        <v>17</v>
      </c>
      <c r="E60" s="158" t="s">
        <v>18</v>
      </c>
      <c r="F60" s="158" t="s">
        <v>19</v>
      </c>
      <c r="G60" s="158" t="s">
        <v>20</v>
      </c>
      <c r="H60" s="158" t="s">
        <v>21</v>
      </c>
      <c r="I60" s="158" t="s">
        <v>22</v>
      </c>
      <c r="J60" s="158" t="s">
        <v>23</v>
      </c>
      <c r="K60" s="158" t="s">
        <v>24</v>
      </c>
      <c r="L60" s="158"/>
      <c r="M60" s="158"/>
      <c r="N60" s="158"/>
      <c r="O60" s="158"/>
    </row>
    <row r="61" spans="1:15" ht="15" hidden="1" customHeight="1" x14ac:dyDescent="0.25">
      <c r="A61" s="158"/>
      <c r="B61" s="158">
        <v>1</v>
      </c>
      <c r="C61" s="158">
        <f>+IF(ISNUMBER('Cálculo Aforo'!W30),('Cálculo Aforo'!W30),"")</f>
        <v>0.82599999999999996</v>
      </c>
      <c r="D61" s="158">
        <f>+IF(ISNUMBER('Cálculo Aforo'!X30),('Cálculo Aforo'!X30),"")</f>
        <v>0.82799999999999996</v>
      </c>
      <c r="E61" s="158">
        <f>+IF(ISNUMBER('Cálculo Aforo'!Y30),('Cálculo Aforo'!Y30),"")</f>
        <v>0.84099999999999997</v>
      </c>
      <c r="F61" s="158">
        <f>+IF(ISNUMBER('Cálculo Aforo'!Z30),('Cálculo Aforo'!Z30),"")</f>
        <v>0.80600000000000005</v>
      </c>
      <c r="G61" s="158">
        <f>+IF(ISNUMBER('Cálculo Aforo'!AA30),('Cálculo Aforo'!AA30),"")</f>
        <v>0.79600000000000004</v>
      </c>
      <c r="H61" s="158">
        <f>+IF(ISNUMBER('Cálculo Aforo'!AB30),('Cálculo Aforo'!AB30),"")</f>
        <v>0.81399999999999995</v>
      </c>
      <c r="I61" s="158" t="str">
        <f>+IF(ISNUMBER('Cálculo Aforo'!AC30),('Cálculo Aforo'!AC30),"")</f>
        <v/>
      </c>
      <c r="J61" s="158" t="str">
        <f>+IF(ISNUMBER('Cálculo Aforo'!AD30),('Cálculo Aforo'!AD30),"")</f>
        <v/>
      </c>
      <c r="K61" s="158" t="str">
        <f>+IF(ISNUMBER('Cálculo Aforo'!AE30),('Cálculo Aforo'!AE30),"")</f>
        <v/>
      </c>
      <c r="L61" s="158"/>
      <c r="M61" s="158"/>
      <c r="N61" s="158"/>
      <c r="O61" s="158"/>
    </row>
    <row r="62" spans="1:15" ht="15" hidden="1" customHeight="1" x14ac:dyDescent="0.25">
      <c r="A62" s="158"/>
      <c r="B62" s="158">
        <v>2</v>
      </c>
      <c r="C62" s="158">
        <f>+IF(ISNUMBER('Cálculo Aforo'!W32),('Cálculo Aforo'!W32),"")</f>
        <v>0.94599999999999995</v>
      </c>
      <c r="D62" s="158">
        <f>+IF(ISNUMBER('Cálculo Aforo'!X32),('Cálculo Aforo'!X32),"")</f>
        <v>0.95799999999999996</v>
      </c>
      <c r="E62" s="158">
        <f>+IF(ISNUMBER('Cálculo Aforo'!Y32),('Cálculo Aforo'!Y32),"")</f>
        <v>0.95399999999999996</v>
      </c>
      <c r="F62" s="158">
        <f>+IF(ISNUMBER('Cálculo Aforo'!Z32),('Cálculo Aforo'!Z32),"")</f>
        <v>0.88400000000000001</v>
      </c>
      <c r="G62" s="158">
        <f>+IF(ISNUMBER('Cálculo Aforo'!AA32),('Cálculo Aforo'!AA32),"")</f>
        <v>0.88300000000000001</v>
      </c>
      <c r="H62" s="158">
        <f>+IF(ISNUMBER('Cálculo Aforo'!AB32),('Cálculo Aforo'!AB32),"")</f>
        <v>0.88900000000000001</v>
      </c>
      <c r="I62" s="158" t="str">
        <f>+IF(ISNUMBER('Cálculo Aforo'!AC32),('Cálculo Aforo'!AC32),"")</f>
        <v/>
      </c>
      <c r="J62" s="158" t="str">
        <f>+IF(ISNUMBER('Cálculo Aforo'!AD32),('Cálculo Aforo'!AD32),"")</f>
        <v/>
      </c>
      <c r="K62" s="158" t="str">
        <f>+IF(ISNUMBER('Cálculo Aforo'!AE32),('Cálculo Aforo'!AE32),"")</f>
        <v/>
      </c>
      <c r="L62" s="158"/>
      <c r="M62" s="158"/>
      <c r="N62" s="158"/>
      <c r="O62" s="158"/>
    </row>
    <row r="63" spans="1:15" ht="15" hidden="1" customHeight="1" x14ac:dyDescent="0.25">
      <c r="A63" s="158"/>
      <c r="B63" s="158">
        <v>3</v>
      </c>
      <c r="C63" s="158">
        <f>+IF(ISNUMBER('Cálculo Aforo'!W34),('Cálculo Aforo'!W34),"")</f>
        <v>0.98899999999999999</v>
      </c>
      <c r="D63" s="158">
        <f>+IF(ISNUMBER('Cálculo Aforo'!X34),('Cálculo Aforo'!X34),"")</f>
        <v>0.98499999999999999</v>
      </c>
      <c r="E63" s="158">
        <f>+IF(ISNUMBER('Cálculo Aforo'!Y34),('Cálculo Aforo'!Y34),"")</f>
        <v>0.99399999999999999</v>
      </c>
      <c r="F63" s="158">
        <f>+IF(ISNUMBER('Cálculo Aforo'!Z34),('Cálculo Aforo'!Z34),"")</f>
        <v>0.95399999999999996</v>
      </c>
      <c r="G63" s="158">
        <f>+IF(ISNUMBER('Cálculo Aforo'!AA34),('Cálculo Aforo'!AA34),"")</f>
        <v>0.94699999999999995</v>
      </c>
      <c r="H63" s="158">
        <f>+IF(ISNUMBER('Cálculo Aforo'!AB34),('Cálculo Aforo'!AB34),"")</f>
        <v>0.94299999999999995</v>
      </c>
      <c r="I63" s="158" t="str">
        <f>+IF(ISNUMBER('Cálculo Aforo'!AC34),('Cálculo Aforo'!AC34),"")</f>
        <v/>
      </c>
      <c r="J63" s="158" t="str">
        <f>+IF(ISNUMBER('Cálculo Aforo'!AD34),('Cálculo Aforo'!AD34),"")</f>
        <v/>
      </c>
      <c r="K63" s="158" t="str">
        <f>+IF(ISNUMBER('Cálculo Aforo'!AE34),('Cálculo Aforo'!AE34),"")</f>
        <v/>
      </c>
      <c r="L63" s="158"/>
      <c r="M63" s="158"/>
      <c r="N63" s="158"/>
      <c r="O63" s="158"/>
    </row>
    <row r="64" spans="1:15" ht="15" hidden="1" customHeight="1" x14ac:dyDescent="0.25">
      <c r="A64" s="158"/>
      <c r="B64" s="158">
        <v>4</v>
      </c>
      <c r="C64" s="158">
        <f>+IF(ISNUMBER('Cálculo Aforo'!W36),('Cálculo Aforo'!W36),"")</f>
        <v>1.0009999999999999</v>
      </c>
      <c r="D64" s="158">
        <f>+IF(ISNUMBER('Cálculo Aforo'!X36),('Cálculo Aforo'!X36),"")</f>
        <v>0.999</v>
      </c>
      <c r="E64" s="158">
        <f>+IF(ISNUMBER('Cálculo Aforo'!Y36),('Cálculo Aforo'!Y36),"")</f>
        <v>1.014</v>
      </c>
      <c r="F64" s="158">
        <f>+IF(ISNUMBER('Cálculo Aforo'!Z36),('Cálculo Aforo'!Z36),"")</f>
        <v>0.98299999999999998</v>
      </c>
      <c r="G64" s="158">
        <f>+IF(ISNUMBER('Cálculo Aforo'!AA36),('Cálculo Aforo'!AA36),"")</f>
        <v>0.98799999999999999</v>
      </c>
      <c r="H64" s="158">
        <f>+IF(ISNUMBER('Cálculo Aforo'!AB36),('Cálculo Aforo'!AB36),"")</f>
        <v>0.99399999999999999</v>
      </c>
      <c r="I64" s="158" t="str">
        <f>+IF(ISNUMBER('Cálculo Aforo'!AC36),('Cálculo Aforo'!AC36),"")</f>
        <v/>
      </c>
      <c r="J64" s="158" t="str">
        <f>+IF(ISNUMBER('Cálculo Aforo'!AD36),('Cálculo Aforo'!AD36),"")</f>
        <v/>
      </c>
      <c r="K64" s="158" t="str">
        <f>+IF(ISNUMBER('Cálculo Aforo'!AE36),('Cálculo Aforo'!AE36),"")</f>
        <v/>
      </c>
      <c r="L64" s="158"/>
      <c r="M64" s="158"/>
      <c r="N64" s="158"/>
      <c r="O64" s="158"/>
    </row>
    <row r="65" spans="2:15" ht="15" hidden="1" customHeight="1" x14ac:dyDescent="0.25">
      <c r="B65" s="158">
        <v>5</v>
      </c>
      <c r="C65" s="158">
        <f>+IF(ISNUMBER('Cálculo Aforo'!W38),('Cálculo Aforo'!W38),"")</f>
        <v>1.024</v>
      </c>
      <c r="D65" s="158">
        <f>+IF(ISNUMBER('Cálculo Aforo'!X38),('Cálculo Aforo'!X38),"")</f>
        <v>1.024</v>
      </c>
      <c r="E65" s="158">
        <f>+IF(ISNUMBER('Cálculo Aforo'!Y38),('Cálculo Aforo'!Y38),"")</f>
        <v>1.0109999999999999</v>
      </c>
      <c r="F65" s="158">
        <f>+IF(ISNUMBER('Cálculo Aforo'!Z38),('Cálculo Aforo'!Z38),"")</f>
        <v>0.94699999999999995</v>
      </c>
      <c r="G65" s="158">
        <f>+IF(ISNUMBER('Cálculo Aforo'!AA38),('Cálculo Aforo'!AA38),"")</f>
        <v>0.95499999999999996</v>
      </c>
      <c r="H65" s="158">
        <f>+IF(ISNUMBER('Cálculo Aforo'!AB38),('Cálculo Aforo'!AB38),"")</f>
        <v>0.95899999999999996</v>
      </c>
      <c r="I65" s="158" t="str">
        <f>+IF(ISNUMBER('Cálculo Aforo'!AC38),('Cálculo Aforo'!AC38),"")</f>
        <v/>
      </c>
      <c r="J65" s="158" t="str">
        <f>+IF(ISNUMBER('Cálculo Aforo'!AD38),('Cálculo Aforo'!AD38),"")</f>
        <v/>
      </c>
      <c r="K65" s="158" t="str">
        <f>+IF(ISNUMBER('Cálculo Aforo'!AE38),('Cálculo Aforo'!AE38),"")</f>
        <v/>
      </c>
      <c r="L65" s="158"/>
      <c r="M65" s="158"/>
      <c r="N65" s="158"/>
      <c r="O65" s="158"/>
    </row>
    <row r="66" spans="2:15" ht="15" hidden="1" customHeight="1" x14ac:dyDescent="0.25">
      <c r="B66" s="158">
        <v>6</v>
      </c>
      <c r="C66" s="158">
        <f>+IF(ISNUMBER('Cálculo Aforo'!W40),('Cálculo Aforo'!W40),"")</f>
        <v>0.871</v>
      </c>
      <c r="D66" s="158">
        <f>+IF(ISNUMBER('Cálculo Aforo'!X40),('Cálculo Aforo'!X40),"")</f>
        <v>0.88</v>
      </c>
      <c r="E66" s="158">
        <f>+IF(ISNUMBER('Cálculo Aforo'!Y40),('Cálculo Aforo'!Y40),"")</f>
        <v>0.872</v>
      </c>
      <c r="F66" s="158">
        <f>+IF(ISNUMBER('Cálculo Aforo'!Z40),('Cálculo Aforo'!Z40),"")</f>
        <v>0.91</v>
      </c>
      <c r="G66" s="158">
        <f>+IF(ISNUMBER('Cálculo Aforo'!AA40),('Cálculo Aforo'!AA40),"")</f>
        <v>0.89700000000000002</v>
      </c>
      <c r="H66" s="158">
        <f>+IF(ISNUMBER('Cálculo Aforo'!AB40),('Cálculo Aforo'!AB40),"")</f>
        <v>0.9</v>
      </c>
      <c r="I66" s="158" t="str">
        <f>+IF(ISNUMBER('Cálculo Aforo'!AC40),('Cálculo Aforo'!AC40),"")</f>
        <v/>
      </c>
      <c r="J66" s="158" t="str">
        <f>+IF(ISNUMBER('Cálculo Aforo'!AD40),('Cálculo Aforo'!AD40),"")</f>
        <v/>
      </c>
      <c r="K66" s="158" t="str">
        <f>+IF(ISNUMBER('Cálculo Aforo'!AE40),('Cálculo Aforo'!AE40),"")</f>
        <v/>
      </c>
      <c r="L66" s="158"/>
      <c r="M66" s="158"/>
      <c r="N66" s="158"/>
      <c r="O66" s="158"/>
    </row>
    <row r="67" spans="2:15" ht="15" hidden="1" customHeight="1" x14ac:dyDescent="0.25">
      <c r="B67" s="158">
        <v>7</v>
      </c>
      <c r="C67" s="158" t="str">
        <f>+IF(ISNUMBER('Cálculo Aforo'!W42),('Cálculo Aforo'!W42),"")</f>
        <v/>
      </c>
      <c r="D67" s="158" t="str">
        <f>+IF(ISNUMBER('Cálculo Aforo'!X42),('Cálculo Aforo'!X42),"")</f>
        <v/>
      </c>
      <c r="E67" s="158" t="str">
        <f>+IF(ISNUMBER('Cálculo Aforo'!Y42),('Cálculo Aforo'!Y42),"")</f>
        <v/>
      </c>
      <c r="F67" s="158" t="str">
        <f>+IF(ISNUMBER('Cálculo Aforo'!Z42),('Cálculo Aforo'!Z42),"")</f>
        <v/>
      </c>
      <c r="G67" s="158" t="str">
        <f>+IF(ISNUMBER('Cálculo Aforo'!AA42),('Cálculo Aforo'!AA42),"")</f>
        <v/>
      </c>
      <c r="H67" s="158" t="str">
        <f>+IF(ISNUMBER('Cálculo Aforo'!AB42),('Cálculo Aforo'!AB42),"")</f>
        <v/>
      </c>
      <c r="I67" s="158" t="str">
        <f>+IF(ISNUMBER('Cálculo Aforo'!AC42),('Cálculo Aforo'!AC42),"")</f>
        <v/>
      </c>
      <c r="J67" s="158" t="str">
        <f>+IF(ISNUMBER('Cálculo Aforo'!AD42),('Cálculo Aforo'!AD42),"")</f>
        <v/>
      </c>
      <c r="K67" s="158" t="str">
        <f>+IF(ISNUMBER('Cálculo Aforo'!AE42),('Cálculo Aforo'!AE42),"")</f>
        <v/>
      </c>
      <c r="L67" s="158"/>
      <c r="M67" s="158"/>
      <c r="N67" s="158"/>
      <c r="O67" s="158"/>
    </row>
    <row r="68" spans="2:15" ht="15" hidden="1" customHeight="1" x14ac:dyDescent="0.25">
      <c r="B68" s="158">
        <v>8</v>
      </c>
      <c r="C68" s="158" t="str">
        <f>+IF(ISNUMBER('Cálculo Aforo'!W44),('Cálculo Aforo'!W44),"")</f>
        <v/>
      </c>
      <c r="D68" s="158" t="str">
        <f>+IF(ISNUMBER('Cálculo Aforo'!X44),('Cálculo Aforo'!X44),"")</f>
        <v/>
      </c>
      <c r="E68" s="158" t="str">
        <f>+IF(ISNUMBER('Cálculo Aforo'!Y44),('Cálculo Aforo'!Y44),"")</f>
        <v/>
      </c>
      <c r="F68" s="158" t="str">
        <f>+IF(ISNUMBER('Cálculo Aforo'!Z44),('Cálculo Aforo'!Z44),"")</f>
        <v/>
      </c>
      <c r="G68" s="158" t="str">
        <f>+IF(ISNUMBER('Cálculo Aforo'!AA44),('Cálculo Aforo'!AA44),"")</f>
        <v/>
      </c>
      <c r="H68" s="158" t="str">
        <f>+IF(ISNUMBER('Cálculo Aforo'!AB44),('Cálculo Aforo'!AB44),"")</f>
        <v/>
      </c>
      <c r="I68" s="158" t="str">
        <f>+IF(ISNUMBER('Cálculo Aforo'!AC44),('Cálculo Aforo'!AC44),"")</f>
        <v/>
      </c>
      <c r="J68" s="158" t="str">
        <f>+IF(ISNUMBER('Cálculo Aforo'!AD44),('Cálculo Aforo'!AD44),"")</f>
        <v/>
      </c>
      <c r="K68" s="158" t="str">
        <f>+IF(ISNUMBER('Cálculo Aforo'!AE44),('Cálculo Aforo'!AE44),"")</f>
        <v/>
      </c>
      <c r="L68" s="158"/>
      <c r="M68" s="158"/>
      <c r="N68" s="158"/>
      <c r="O68" s="158"/>
    </row>
    <row r="69" spans="2:15" ht="15" hidden="1" customHeight="1" x14ac:dyDescent="0.25">
      <c r="B69" s="158">
        <v>9</v>
      </c>
      <c r="C69" s="158" t="str">
        <f>+IF(ISNUMBER('Cálculo Aforo'!W46),('Cálculo Aforo'!W46),"")</f>
        <v/>
      </c>
      <c r="D69" s="158" t="str">
        <f>+IF(ISNUMBER('Cálculo Aforo'!X46),('Cálculo Aforo'!X46),"")</f>
        <v/>
      </c>
      <c r="E69" s="158" t="str">
        <f>+IF(ISNUMBER('Cálculo Aforo'!Y46),('Cálculo Aforo'!Y46),"")</f>
        <v/>
      </c>
      <c r="F69" s="158" t="str">
        <f>+IF(ISNUMBER('Cálculo Aforo'!Z46),('Cálculo Aforo'!Z46),"")</f>
        <v/>
      </c>
      <c r="G69" s="158" t="str">
        <f>+IF(ISNUMBER('Cálculo Aforo'!AA46),('Cálculo Aforo'!AA46),"")</f>
        <v/>
      </c>
      <c r="H69" s="158" t="str">
        <f>+IF(ISNUMBER('Cálculo Aforo'!AB46),('Cálculo Aforo'!AB46),"")</f>
        <v/>
      </c>
      <c r="I69" s="158" t="str">
        <f>+IF(ISNUMBER('Cálculo Aforo'!AC46),('Cálculo Aforo'!AC46),"")</f>
        <v/>
      </c>
      <c r="J69" s="158" t="str">
        <f>+IF(ISNUMBER('Cálculo Aforo'!AD46),('Cálculo Aforo'!AD46),"")</f>
        <v/>
      </c>
      <c r="K69" s="158" t="str">
        <f>+IF(ISNUMBER('Cálculo Aforo'!AE46),('Cálculo Aforo'!AE46),"")</f>
        <v/>
      </c>
      <c r="L69" s="158"/>
      <c r="M69" s="158"/>
      <c r="N69" s="158"/>
      <c r="O69" s="158"/>
    </row>
    <row r="70" spans="2:15" ht="15" hidden="1" customHeight="1" x14ac:dyDescent="0.25">
      <c r="B70" s="158">
        <v>10</v>
      </c>
      <c r="C70" s="158" t="str">
        <f>+IF(ISNUMBER('Cálculo Aforo'!W48),('Cálculo Aforo'!W48),"")</f>
        <v/>
      </c>
      <c r="D70" s="158" t="str">
        <f>+IF(ISNUMBER('Cálculo Aforo'!X48),('Cálculo Aforo'!X48),"")</f>
        <v/>
      </c>
      <c r="E70" s="158" t="str">
        <f>+IF(ISNUMBER('Cálculo Aforo'!Y48),('Cálculo Aforo'!Y48),"")</f>
        <v/>
      </c>
      <c r="F70" s="158" t="str">
        <f>+IF(ISNUMBER('Cálculo Aforo'!Z48),('Cálculo Aforo'!Z48),"")</f>
        <v/>
      </c>
      <c r="G70" s="158" t="str">
        <f>+IF(ISNUMBER('Cálculo Aforo'!AA48),('Cálculo Aforo'!AA48),"")</f>
        <v/>
      </c>
      <c r="H70" s="158" t="str">
        <f>+IF(ISNUMBER('Cálculo Aforo'!AB48),('Cálculo Aforo'!AB48),"")</f>
        <v/>
      </c>
      <c r="I70" s="158" t="str">
        <f>+IF(ISNUMBER('Cálculo Aforo'!AC48),('Cálculo Aforo'!AC48),"")</f>
        <v/>
      </c>
      <c r="J70" s="158" t="str">
        <f>+IF(ISNUMBER('Cálculo Aforo'!AD48),('Cálculo Aforo'!AD48),"")</f>
        <v/>
      </c>
      <c r="K70" s="158" t="str">
        <f>+IF(ISNUMBER('Cálculo Aforo'!AE48),('Cálculo Aforo'!AE48),"")</f>
        <v/>
      </c>
      <c r="L70" s="158"/>
      <c r="M70" s="158"/>
      <c r="N70" s="158"/>
      <c r="O70" s="158"/>
    </row>
    <row r="71" spans="2:15" ht="15" hidden="1" customHeight="1" x14ac:dyDescent="0.25">
      <c r="B71" s="158">
        <v>11</v>
      </c>
      <c r="C71" s="158" t="str">
        <f>+IF(ISNUMBER('Cálculo Aforo'!W50),('Cálculo Aforo'!W50),"")</f>
        <v/>
      </c>
      <c r="D71" s="158" t="str">
        <f>+IF(ISNUMBER('Cálculo Aforo'!X50),('Cálculo Aforo'!X50),"")</f>
        <v/>
      </c>
      <c r="E71" s="158" t="str">
        <f>+IF(ISNUMBER('Cálculo Aforo'!Y50),('Cálculo Aforo'!Y50),"")</f>
        <v/>
      </c>
      <c r="F71" s="158" t="str">
        <f>+IF(ISNUMBER('Cálculo Aforo'!Z50),('Cálculo Aforo'!Z50),"")</f>
        <v/>
      </c>
      <c r="G71" s="158" t="str">
        <f>+IF(ISNUMBER('Cálculo Aforo'!AA50),('Cálculo Aforo'!AA50),"")</f>
        <v/>
      </c>
      <c r="H71" s="158" t="str">
        <f>+IF(ISNUMBER('Cálculo Aforo'!AB50),('Cálculo Aforo'!AB50),"")</f>
        <v/>
      </c>
      <c r="I71" s="158" t="str">
        <f>+IF(ISNUMBER('Cálculo Aforo'!AC50),('Cálculo Aforo'!AC50),"")</f>
        <v/>
      </c>
      <c r="J71" s="158" t="str">
        <f>+IF(ISNUMBER('Cálculo Aforo'!AD50),('Cálculo Aforo'!AD50),"")</f>
        <v/>
      </c>
      <c r="K71" s="158" t="str">
        <f>+IF(ISNUMBER('Cálculo Aforo'!AE50),('Cálculo Aforo'!AE50),"")</f>
        <v/>
      </c>
      <c r="L71" s="158"/>
      <c r="M71" s="158"/>
      <c r="N71" s="158"/>
      <c r="O71" s="158"/>
    </row>
    <row r="72" spans="2:15" ht="15" hidden="1" customHeight="1" x14ac:dyDescent="0.25">
      <c r="B72" s="158">
        <v>12</v>
      </c>
      <c r="C72" s="158" t="str">
        <f>+IF(ISNUMBER('Cálculo Aforo'!W52),('Cálculo Aforo'!W52),"")</f>
        <v/>
      </c>
      <c r="D72" s="158" t="str">
        <f>+IF(ISNUMBER('Cálculo Aforo'!X52),('Cálculo Aforo'!X52),"")</f>
        <v/>
      </c>
      <c r="E72" s="158" t="str">
        <f>+IF(ISNUMBER('Cálculo Aforo'!Y52),('Cálculo Aforo'!Y52),"")</f>
        <v/>
      </c>
      <c r="F72" s="158" t="str">
        <f>+IF(ISNUMBER('Cálculo Aforo'!Z52),('Cálculo Aforo'!Z52),"")</f>
        <v/>
      </c>
      <c r="G72" s="158" t="str">
        <f>+IF(ISNUMBER('Cálculo Aforo'!AA52),('Cálculo Aforo'!AA52),"")</f>
        <v/>
      </c>
      <c r="H72" s="158" t="str">
        <f>+IF(ISNUMBER('Cálculo Aforo'!AB52),('Cálculo Aforo'!AB52),"")</f>
        <v/>
      </c>
      <c r="I72" s="158" t="str">
        <f>+IF(ISNUMBER('Cálculo Aforo'!AC52),('Cálculo Aforo'!AC52),"")</f>
        <v/>
      </c>
      <c r="J72" s="158" t="str">
        <f>+IF(ISNUMBER('Cálculo Aforo'!AD52),('Cálculo Aforo'!AD52),"")</f>
        <v/>
      </c>
      <c r="K72" s="158" t="str">
        <f>+IF(ISNUMBER('Cálculo Aforo'!AE52),('Cálculo Aforo'!AE52),"")</f>
        <v/>
      </c>
      <c r="L72" s="158"/>
      <c r="M72" s="158"/>
      <c r="N72" s="158"/>
      <c r="O72" s="158"/>
    </row>
    <row r="73" spans="2:15" ht="15" hidden="1" customHeight="1" x14ac:dyDescent="0.25">
      <c r="B73" s="158">
        <v>13</v>
      </c>
      <c r="C73" s="158" t="str">
        <f>+IF(ISNUMBER('Cálculo Aforo'!W54),('Cálculo Aforo'!W54),"")</f>
        <v/>
      </c>
      <c r="D73" s="158" t="str">
        <f>+IF(ISNUMBER('Cálculo Aforo'!X54),('Cálculo Aforo'!X54),"")</f>
        <v/>
      </c>
      <c r="E73" s="158" t="str">
        <f>+IF(ISNUMBER('Cálculo Aforo'!Y54),('Cálculo Aforo'!Y54),"")</f>
        <v/>
      </c>
      <c r="F73" s="158" t="str">
        <f>+IF(ISNUMBER('Cálculo Aforo'!Z54),('Cálculo Aforo'!Z54),"")</f>
        <v/>
      </c>
      <c r="G73" s="158" t="str">
        <f>+IF(ISNUMBER('Cálculo Aforo'!AA54),('Cálculo Aforo'!AA54),"")</f>
        <v/>
      </c>
      <c r="H73" s="158" t="str">
        <f>+IF(ISNUMBER('Cálculo Aforo'!AB54),('Cálculo Aforo'!AB54),"")</f>
        <v/>
      </c>
      <c r="I73" s="158" t="str">
        <f>+IF(ISNUMBER('Cálculo Aforo'!AC54),('Cálculo Aforo'!AC54),"")</f>
        <v/>
      </c>
      <c r="J73" s="158" t="str">
        <f>+IF(ISNUMBER('Cálculo Aforo'!AD54),('Cálculo Aforo'!AD54),"")</f>
        <v/>
      </c>
      <c r="K73" s="158" t="str">
        <f>+IF(ISNUMBER('Cálculo Aforo'!AE54),('Cálculo Aforo'!AE54),"")</f>
        <v/>
      </c>
      <c r="L73" s="158"/>
      <c r="M73" s="158"/>
      <c r="N73" s="158"/>
      <c r="O73" s="158"/>
    </row>
    <row r="74" spans="2:15" ht="15" hidden="1" customHeight="1" x14ac:dyDescent="0.25">
      <c r="B74" s="158">
        <v>14</v>
      </c>
      <c r="C74" s="158" t="str">
        <f>+IF(ISNUMBER('Cálculo Aforo'!W56),('Cálculo Aforo'!W56),"")</f>
        <v/>
      </c>
      <c r="D74" s="158" t="str">
        <f>+IF(ISNUMBER('Cálculo Aforo'!X56),('Cálculo Aforo'!X56),"")</f>
        <v/>
      </c>
      <c r="E74" s="158" t="str">
        <f>+IF(ISNUMBER('Cálculo Aforo'!Y56),('Cálculo Aforo'!Y56),"")</f>
        <v/>
      </c>
      <c r="F74" s="158" t="str">
        <f>+IF(ISNUMBER('Cálculo Aforo'!Z56),('Cálculo Aforo'!Z56),"")</f>
        <v/>
      </c>
      <c r="G74" s="158" t="str">
        <f>+IF(ISNUMBER('Cálculo Aforo'!AA56),('Cálculo Aforo'!AA56),"")</f>
        <v/>
      </c>
      <c r="H74" s="158" t="str">
        <f>+IF(ISNUMBER('Cálculo Aforo'!AB56),('Cálculo Aforo'!AB56),"")</f>
        <v/>
      </c>
      <c r="I74" s="158" t="str">
        <f>+IF(ISNUMBER('Cálculo Aforo'!AC56),('Cálculo Aforo'!AC56),"")</f>
        <v/>
      </c>
      <c r="J74" s="158" t="str">
        <f>+IF(ISNUMBER('Cálculo Aforo'!AD56),('Cálculo Aforo'!AD56),"")</f>
        <v/>
      </c>
      <c r="K74" s="158" t="str">
        <f>+IF(ISNUMBER('Cálculo Aforo'!AE56),('Cálculo Aforo'!AE56),"")</f>
        <v/>
      </c>
      <c r="L74" s="158"/>
      <c r="M74" s="158"/>
      <c r="N74" s="158"/>
      <c r="O74" s="158"/>
    </row>
    <row r="75" spans="2:15" ht="15" hidden="1" customHeight="1" x14ac:dyDescent="0.25">
      <c r="B75" s="158">
        <v>15</v>
      </c>
      <c r="C75" s="158" t="str">
        <f>+IF(ISNUMBER('Cálculo Aforo'!W58),('Cálculo Aforo'!W58),"")</f>
        <v/>
      </c>
      <c r="D75" s="158" t="str">
        <f>+IF(ISNUMBER('Cálculo Aforo'!X58),('Cálculo Aforo'!X58),"")</f>
        <v/>
      </c>
      <c r="E75" s="158" t="str">
        <f>+IF(ISNUMBER('Cálculo Aforo'!Y58),('Cálculo Aforo'!Y58),"")</f>
        <v/>
      </c>
      <c r="F75" s="158" t="str">
        <f>+IF(ISNUMBER('Cálculo Aforo'!Z58),('Cálculo Aforo'!Z58),"")</f>
        <v/>
      </c>
      <c r="G75" s="158" t="str">
        <f>+IF(ISNUMBER('Cálculo Aforo'!AA58),('Cálculo Aforo'!AA58),"")</f>
        <v/>
      </c>
      <c r="H75" s="158" t="str">
        <f>+IF(ISNUMBER('Cálculo Aforo'!AB58),('Cálculo Aforo'!AB58),"")</f>
        <v/>
      </c>
      <c r="I75" s="158" t="str">
        <f>+IF(ISNUMBER('Cálculo Aforo'!AC58),('Cálculo Aforo'!AC58),"")</f>
        <v/>
      </c>
      <c r="J75" s="158" t="str">
        <f>+IF(ISNUMBER('Cálculo Aforo'!AD58),('Cálculo Aforo'!AD58),"")</f>
        <v/>
      </c>
      <c r="K75" s="158" t="str">
        <f>+IF(ISNUMBER('Cálculo Aforo'!AE58),('Cálculo Aforo'!AE58),"")</f>
        <v/>
      </c>
      <c r="L75" s="158"/>
      <c r="M75" s="158"/>
      <c r="N75" s="158"/>
      <c r="O75" s="158"/>
    </row>
    <row r="76" spans="2:15" ht="15" hidden="1" customHeight="1" x14ac:dyDescent="0.25">
      <c r="B76" s="158">
        <v>16</v>
      </c>
      <c r="C76" s="158" t="str">
        <f>+IF(ISNUMBER('Cálculo Aforo'!W60),('Cálculo Aforo'!W60),"")</f>
        <v/>
      </c>
      <c r="D76" s="158" t="str">
        <f>+IF(ISNUMBER('Cálculo Aforo'!X60),('Cálculo Aforo'!X60),"")</f>
        <v/>
      </c>
      <c r="E76" s="158" t="str">
        <f>+IF(ISNUMBER('Cálculo Aforo'!Y60),('Cálculo Aforo'!Y60),"")</f>
        <v/>
      </c>
      <c r="F76" s="158" t="str">
        <f>+IF(ISNUMBER('Cálculo Aforo'!Z60),('Cálculo Aforo'!Z60),"")</f>
        <v/>
      </c>
      <c r="G76" s="158" t="str">
        <f>+IF(ISNUMBER('Cálculo Aforo'!AA60),('Cálculo Aforo'!AA60),"")</f>
        <v/>
      </c>
      <c r="H76" s="158" t="str">
        <f>+IF(ISNUMBER('Cálculo Aforo'!AB60),('Cálculo Aforo'!AB60),"")</f>
        <v/>
      </c>
      <c r="I76" s="158" t="str">
        <f>+IF(ISNUMBER('Cálculo Aforo'!AC60),('Cálculo Aforo'!AC60),"")</f>
        <v/>
      </c>
      <c r="J76" s="158" t="str">
        <f>+IF(ISNUMBER('Cálculo Aforo'!AD60),('Cálculo Aforo'!AD60),"")</f>
        <v/>
      </c>
      <c r="K76" s="158" t="str">
        <f>+IF(ISNUMBER('Cálculo Aforo'!AE60),('Cálculo Aforo'!AE60),"")</f>
        <v/>
      </c>
      <c r="L76" s="158"/>
      <c r="M76" s="158"/>
      <c r="N76" s="158"/>
      <c r="O76" s="158"/>
    </row>
  </sheetData>
  <sheetProtection password="B321" sheet="1" objects="1" scenarios="1" selectLockedCells="1" autoFilter="0"/>
  <autoFilter ref="B4:B55"/>
  <mergeCells count="137">
    <mergeCell ref="J50:J52"/>
    <mergeCell ref="J23:J25"/>
    <mergeCell ref="J26:J28"/>
    <mergeCell ref="J29:J31"/>
    <mergeCell ref="J32:J34"/>
    <mergeCell ref="J35:J37"/>
    <mergeCell ref="J38:J40"/>
    <mergeCell ref="H50:H52"/>
    <mergeCell ref="H17:H19"/>
    <mergeCell ref="H20:H22"/>
    <mergeCell ref="H23:H25"/>
    <mergeCell ref="H26:H28"/>
    <mergeCell ref="H29:H31"/>
    <mergeCell ref="H32:H34"/>
    <mergeCell ref="I44:I46"/>
    <mergeCell ref="I47:I49"/>
    <mergeCell ref="I50:I52"/>
    <mergeCell ref="I17:I19"/>
    <mergeCell ref="I20:I22"/>
    <mergeCell ref="I23:I25"/>
    <mergeCell ref="I26:I28"/>
    <mergeCell ref="I29:I31"/>
    <mergeCell ref="I32:I34"/>
    <mergeCell ref="I35:I37"/>
    <mergeCell ref="I41:I43"/>
    <mergeCell ref="M2:M4"/>
    <mergeCell ref="H2:J3"/>
    <mergeCell ref="H5:H7"/>
    <mergeCell ref="H8:H10"/>
    <mergeCell ref="H11:H13"/>
    <mergeCell ref="H14:H16"/>
    <mergeCell ref="I5:I7"/>
    <mergeCell ref="I8:I10"/>
    <mergeCell ref="I11:I13"/>
    <mergeCell ref="I14:I16"/>
    <mergeCell ref="L5:L7"/>
    <mergeCell ref="M5:M7"/>
    <mergeCell ref="J5:J7"/>
    <mergeCell ref="J8:J10"/>
    <mergeCell ref="J11:J13"/>
    <mergeCell ref="J14:J16"/>
    <mergeCell ref="C2:C4"/>
    <mergeCell ref="D2:D4"/>
    <mergeCell ref="E2:G3"/>
    <mergeCell ref="K2:K4"/>
    <mergeCell ref="L2:L4"/>
    <mergeCell ref="K44:K46"/>
    <mergeCell ref="K47:K49"/>
    <mergeCell ref="K50:K52"/>
    <mergeCell ref="L17:L19"/>
    <mergeCell ref="L20:L22"/>
    <mergeCell ref="L23:L25"/>
    <mergeCell ref="L26:L28"/>
    <mergeCell ref="D38:D40"/>
    <mergeCell ref="D41:D43"/>
    <mergeCell ref="D44:D46"/>
    <mergeCell ref="D47:D49"/>
    <mergeCell ref="D50:D52"/>
    <mergeCell ref="K5:K7"/>
    <mergeCell ref="K32:K34"/>
    <mergeCell ref="K35:K37"/>
    <mergeCell ref="K38:K40"/>
    <mergeCell ref="K41:K43"/>
    <mergeCell ref="D20:D22"/>
    <mergeCell ref="C44:C46"/>
    <mergeCell ref="L53:L55"/>
    <mergeCell ref="M53:M55"/>
    <mergeCell ref="L47:L49"/>
    <mergeCell ref="L50:L52"/>
    <mergeCell ref="K8:K10"/>
    <mergeCell ref="K11:K13"/>
    <mergeCell ref="K14:K16"/>
    <mergeCell ref="K17:K19"/>
    <mergeCell ref="K20:K22"/>
    <mergeCell ref="K23:K25"/>
    <mergeCell ref="K26:K28"/>
    <mergeCell ref="K29:K31"/>
    <mergeCell ref="L29:L31"/>
    <mergeCell ref="L32:L34"/>
    <mergeCell ref="L35:L37"/>
    <mergeCell ref="L38:L40"/>
    <mergeCell ref="L41:L43"/>
    <mergeCell ref="L44:L46"/>
    <mergeCell ref="M44:M46"/>
    <mergeCell ref="M47:M49"/>
    <mergeCell ref="M50:M52"/>
    <mergeCell ref="L8:L10"/>
    <mergeCell ref="L11:L13"/>
    <mergeCell ref="L14:L16"/>
    <mergeCell ref="C47:C49"/>
    <mergeCell ref="M26:M28"/>
    <mergeCell ref="M29:M31"/>
    <mergeCell ref="M32:M34"/>
    <mergeCell ref="M35:M37"/>
    <mergeCell ref="M38:M40"/>
    <mergeCell ref="M41:M43"/>
    <mergeCell ref="M8:M10"/>
    <mergeCell ref="M11:M13"/>
    <mergeCell ref="M14:M16"/>
    <mergeCell ref="M17:M19"/>
    <mergeCell ref="M20:M22"/>
    <mergeCell ref="M23:M25"/>
    <mergeCell ref="H35:H37"/>
    <mergeCell ref="H38:H40"/>
    <mergeCell ref="H41:H43"/>
    <mergeCell ref="H44:H46"/>
    <mergeCell ref="H47:H49"/>
    <mergeCell ref="J17:J19"/>
    <mergeCell ref="J20:J22"/>
    <mergeCell ref="J41:J43"/>
    <mergeCell ref="J44:J46"/>
    <mergeCell ref="J47:J49"/>
    <mergeCell ref="I38:I40"/>
    <mergeCell ref="C50:C52"/>
    <mergeCell ref="D5:D7"/>
    <mergeCell ref="D8:D10"/>
    <mergeCell ref="D11:D13"/>
    <mergeCell ref="D14:D16"/>
    <mergeCell ref="D17:D19"/>
    <mergeCell ref="C20:C22"/>
    <mergeCell ref="C23:C25"/>
    <mergeCell ref="C26:C28"/>
    <mergeCell ref="C29:C31"/>
    <mergeCell ref="C32:C34"/>
    <mergeCell ref="C35:C37"/>
    <mergeCell ref="C14:C16"/>
    <mergeCell ref="C17:C19"/>
    <mergeCell ref="C8:C10"/>
    <mergeCell ref="C11:C13"/>
    <mergeCell ref="C5:C7"/>
    <mergeCell ref="D23:D25"/>
    <mergeCell ref="D26:D28"/>
    <mergeCell ref="D29:D31"/>
    <mergeCell ref="D32:D34"/>
    <mergeCell ref="D35:D37"/>
    <mergeCell ref="C38:C40"/>
    <mergeCell ref="C41:C43"/>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U88"/>
  <sheetViews>
    <sheetView zoomScale="80" zoomScaleNormal="80" zoomScalePageLayoutView="80" workbookViewId="0">
      <selection activeCell="L11" sqref="L11:M11"/>
    </sheetView>
  </sheetViews>
  <sheetFormatPr baseColWidth="10" defaultRowHeight="15" x14ac:dyDescent="0.25"/>
  <cols>
    <col min="3" max="3" width="13.28515625" bestFit="1" customWidth="1"/>
  </cols>
  <sheetData>
    <row r="1" spans="1:21" x14ac:dyDescent="0.25">
      <c r="A1" s="94"/>
      <c r="B1" s="404" t="s">
        <v>104</v>
      </c>
      <c r="C1" s="404"/>
      <c r="D1" s="404"/>
      <c r="E1" s="404"/>
      <c r="F1" s="404"/>
      <c r="G1" s="404"/>
      <c r="H1" s="404"/>
      <c r="I1" s="404"/>
      <c r="J1" s="404"/>
      <c r="K1" s="404"/>
      <c r="L1" s="404"/>
      <c r="M1" s="404"/>
      <c r="N1" s="404"/>
      <c r="O1" s="404"/>
      <c r="P1" s="404"/>
      <c r="Q1" s="404"/>
      <c r="R1" s="404"/>
      <c r="S1" s="404"/>
      <c r="T1" s="404"/>
      <c r="U1" s="95"/>
    </row>
    <row r="2" spans="1:21" x14ac:dyDescent="0.25">
      <c r="A2" s="96"/>
      <c r="B2" s="99"/>
      <c r="C2" s="99"/>
      <c r="D2" s="99"/>
      <c r="E2" s="99"/>
      <c r="F2" s="99"/>
      <c r="G2" s="99"/>
      <c r="H2" s="99"/>
      <c r="I2" s="99"/>
      <c r="J2" s="99"/>
      <c r="K2" s="99"/>
      <c r="L2" s="99"/>
      <c r="M2" s="99"/>
      <c r="N2" s="99"/>
      <c r="O2" s="99"/>
      <c r="P2" s="99"/>
      <c r="Q2" s="99"/>
      <c r="R2" s="99"/>
      <c r="S2" s="99"/>
      <c r="T2" s="99"/>
      <c r="U2" s="97"/>
    </row>
    <row r="3" spans="1:21" x14ac:dyDescent="0.25">
      <c r="A3" s="96"/>
      <c r="B3" s="98" t="s">
        <v>78</v>
      </c>
      <c r="C3" s="415" t="str">
        <f>+IF(ISBLANK('Cálculo Aforo'!D5),"",('Cálculo Aforo'!D5))</f>
        <v>Channel N</v>
      </c>
      <c r="D3" s="415"/>
      <c r="E3" s="415"/>
      <c r="F3" s="415"/>
      <c r="G3" s="415"/>
      <c r="H3" s="98"/>
      <c r="I3" s="98"/>
      <c r="J3" s="98"/>
      <c r="K3" s="98"/>
      <c r="L3" s="98"/>
      <c r="M3" s="98"/>
      <c r="N3" s="99"/>
      <c r="O3" s="99"/>
      <c r="P3" s="99"/>
      <c r="Q3" s="98"/>
      <c r="R3" s="147"/>
      <c r="S3" s="98"/>
      <c r="T3" s="98"/>
      <c r="U3" s="97"/>
    </row>
    <row r="4" spans="1:21" x14ac:dyDescent="0.25">
      <c r="A4" s="96"/>
      <c r="B4" s="417" t="s">
        <v>79</v>
      </c>
      <c r="C4" s="417"/>
      <c r="D4" s="417"/>
      <c r="E4" s="415" t="str">
        <f>+IF(ISBLANK('Cálculo Aforo'!D6),"",('Cálculo Aforo'!D6))</f>
        <v>Example location</v>
      </c>
      <c r="F4" s="415"/>
      <c r="G4" s="415"/>
      <c r="H4" s="98"/>
      <c r="I4" s="98"/>
      <c r="J4" s="98"/>
      <c r="K4" s="98"/>
      <c r="L4" s="98"/>
      <c r="M4" s="98"/>
      <c r="N4" s="99"/>
      <c r="O4" s="99"/>
      <c r="P4" s="99"/>
      <c r="Q4" s="98"/>
      <c r="R4" s="98"/>
      <c r="S4" s="98"/>
      <c r="T4" s="98"/>
      <c r="U4" s="97"/>
    </row>
    <row r="5" spans="1:21" x14ac:dyDescent="0.25">
      <c r="A5" s="96"/>
      <c r="B5" s="417" t="s">
        <v>80</v>
      </c>
      <c r="C5" s="417"/>
      <c r="D5" s="417"/>
      <c r="E5" s="132">
        <f>+IF(ISBLANK('Cálculo Aforo'!D7),"",('Cálculo Aforo'!D7))</f>
        <v>1.2</v>
      </c>
      <c r="F5" s="132" t="str">
        <f>+IF(ISBLANK('Cálculo Aforo'!F7),"Km","Km, "&amp;('Cálculo Aforo'!F7))</f>
        <v>Km, No Aplica</v>
      </c>
      <c r="G5" s="132"/>
      <c r="H5" s="131"/>
      <c r="I5" s="98"/>
      <c r="J5" s="98"/>
      <c r="K5" s="98"/>
      <c r="L5" s="98"/>
      <c r="M5" s="98"/>
      <c r="N5" s="405" t="s">
        <v>81</v>
      </c>
      <c r="O5" s="405"/>
      <c r="P5" s="405"/>
      <c r="Q5" s="405"/>
      <c r="R5" s="405"/>
      <c r="S5" s="405"/>
      <c r="T5" s="405"/>
      <c r="U5" s="97"/>
    </row>
    <row r="6" spans="1:21" x14ac:dyDescent="0.25">
      <c r="A6" s="96"/>
      <c r="B6" s="110" t="s">
        <v>82</v>
      </c>
      <c r="C6" s="416">
        <f>+IF(ISBLANK('Cálculo Aforo'!D9),"",('Cálculo Aforo'!D9))</f>
        <v>0.65694444444444444</v>
      </c>
      <c r="D6" s="416"/>
      <c r="E6" s="416"/>
      <c r="F6" s="416"/>
      <c r="G6" s="98"/>
      <c r="H6" s="98"/>
      <c r="I6" s="98"/>
      <c r="J6" s="98"/>
      <c r="K6" s="98"/>
      <c r="L6" s="98"/>
      <c r="M6" s="98"/>
      <c r="N6" s="406"/>
      <c r="O6" s="407"/>
      <c r="P6" s="407"/>
      <c r="Q6" s="407"/>
      <c r="R6" s="407"/>
      <c r="S6" s="407"/>
      <c r="T6" s="408"/>
      <c r="U6" s="97"/>
    </row>
    <row r="7" spans="1:21" x14ac:dyDescent="0.25">
      <c r="A7" s="96"/>
      <c r="B7" s="110" t="s">
        <v>83</v>
      </c>
      <c r="C7" s="415">
        <f>IF(ISBLANK('Cálculo Aforo'!D8),"",('Cálculo Aforo'!D8))</f>
        <v>42718</v>
      </c>
      <c r="D7" s="415"/>
      <c r="E7" s="415"/>
      <c r="F7" s="415"/>
      <c r="G7" s="98"/>
      <c r="H7" s="98"/>
      <c r="I7" s="98"/>
      <c r="J7" s="98"/>
      <c r="K7" s="98"/>
      <c r="L7" s="98"/>
      <c r="M7" s="98"/>
      <c r="N7" s="409"/>
      <c r="O7" s="405"/>
      <c r="P7" s="405"/>
      <c r="Q7" s="405"/>
      <c r="R7" s="405"/>
      <c r="S7" s="405"/>
      <c r="T7" s="410"/>
      <c r="U7" s="97"/>
    </row>
    <row r="8" spans="1:21" x14ac:dyDescent="0.25">
      <c r="A8" s="96"/>
      <c r="B8" s="417" t="s">
        <v>84</v>
      </c>
      <c r="C8" s="417"/>
      <c r="D8" s="129" t="s">
        <v>85</v>
      </c>
      <c r="E8" s="415">
        <f>+IF(ISBLANK('Cálculo Aforo'!D12),"",('Cálculo Aforo'!D12))</f>
        <v>6614419.0499999998</v>
      </c>
      <c r="F8" s="415"/>
      <c r="G8" s="415"/>
      <c r="H8" s="415"/>
      <c r="I8" s="98"/>
      <c r="J8" s="98"/>
      <c r="K8" s="414" t="s">
        <v>86</v>
      </c>
      <c r="L8" s="414"/>
      <c r="M8" s="98"/>
      <c r="N8" s="409"/>
      <c r="O8" s="405"/>
      <c r="P8" s="405"/>
      <c r="Q8" s="405"/>
      <c r="R8" s="405"/>
      <c r="S8" s="405"/>
      <c r="T8" s="410"/>
      <c r="U8" s="97"/>
    </row>
    <row r="9" spans="1:21" x14ac:dyDescent="0.25">
      <c r="A9" s="96"/>
      <c r="B9" s="98"/>
      <c r="C9" s="130"/>
      <c r="D9" s="129" t="s">
        <v>87</v>
      </c>
      <c r="E9" s="415">
        <f>+IF(ISBLANK('Cálculo Aforo'!D11),"",('Cálculo Aforo'!D11))</f>
        <v>289635.81</v>
      </c>
      <c r="F9" s="415"/>
      <c r="G9" s="415"/>
      <c r="H9" s="415"/>
      <c r="I9" s="98"/>
      <c r="J9" s="98"/>
      <c r="K9" s="414"/>
      <c r="L9" s="414"/>
      <c r="M9" s="98"/>
      <c r="N9" s="409"/>
      <c r="O9" s="405"/>
      <c r="P9" s="405"/>
      <c r="Q9" s="405"/>
      <c r="R9" s="405"/>
      <c r="S9" s="405"/>
      <c r="T9" s="410"/>
      <c r="U9" s="97"/>
    </row>
    <row r="10" spans="1:21" x14ac:dyDescent="0.25">
      <c r="A10" s="96"/>
      <c r="B10" s="98"/>
      <c r="C10" s="130"/>
      <c r="D10" s="129" t="s">
        <v>88</v>
      </c>
      <c r="E10" s="415" t="str">
        <f>+IF(ISBLANK('Cálculo Aforo'!D13),"",('Cálculo Aforo'!D13))</f>
        <v>19 s</v>
      </c>
      <c r="F10" s="415"/>
      <c r="G10" s="415"/>
      <c r="H10" s="415"/>
      <c r="I10" s="98"/>
      <c r="J10" s="98"/>
      <c r="K10" s="98" t="s">
        <v>89</v>
      </c>
      <c r="L10" s="148">
        <f>+IF('Cálculo Aforo'!C22&gt;0,'Cálculo Aforo'!C22,"")</f>
        <v>1.31</v>
      </c>
      <c r="M10" s="110" t="s">
        <v>105</v>
      </c>
      <c r="N10" s="409"/>
      <c r="O10" s="405"/>
      <c r="P10" s="405"/>
      <c r="Q10" s="405"/>
      <c r="R10" s="405"/>
      <c r="S10" s="405"/>
      <c r="T10" s="410"/>
      <c r="U10" s="97"/>
    </row>
    <row r="11" spans="1:21" x14ac:dyDescent="0.25">
      <c r="A11" s="96"/>
      <c r="B11" s="130" t="s">
        <v>90</v>
      </c>
      <c r="C11" s="98"/>
      <c r="D11" s="98"/>
      <c r="E11" s="98"/>
      <c r="F11" s="98"/>
      <c r="G11" s="98"/>
      <c r="H11" s="98"/>
      <c r="I11" s="98"/>
      <c r="J11" s="98"/>
      <c r="K11" s="98" t="s">
        <v>91</v>
      </c>
      <c r="L11" s="402"/>
      <c r="M11" s="403"/>
      <c r="N11" s="409"/>
      <c r="O11" s="405"/>
      <c r="P11" s="405"/>
      <c r="Q11" s="405"/>
      <c r="R11" s="405"/>
      <c r="S11" s="405"/>
      <c r="T11" s="410"/>
      <c r="U11" s="97"/>
    </row>
    <row r="12" spans="1:21" x14ac:dyDescent="0.25">
      <c r="A12" s="96"/>
      <c r="B12" s="130"/>
      <c r="C12" s="205"/>
      <c r="D12" s="98" t="s">
        <v>92</v>
      </c>
      <c r="E12" s="98"/>
      <c r="F12" s="98"/>
      <c r="G12" s="98"/>
      <c r="H12" s="98"/>
      <c r="I12" s="98"/>
      <c r="J12" s="98"/>
      <c r="K12" s="98"/>
      <c r="L12" s="98"/>
      <c r="M12" s="98"/>
      <c r="N12" s="409"/>
      <c r="O12" s="405"/>
      <c r="P12" s="405"/>
      <c r="Q12" s="405"/>
      <c r="R12" s="405"/>
      <c r="S12" s="405"/>
      <c r="T12" s="410"/>
      <c r="U12" s="97"/>
    </row>
    <row r="13" spans="1:21" x14ac:dyDescent="0.25">
      <c r="A13" s="96"/>
      <c r="B13" s="130"/>
      <c r="C13" s="205"/>
      <c r="D13" s="98" t="s">
        <v>93</v>
      </c>
      <c r="E13" s="98"/>
      <c r="F13" s="98"/>
      <c r="G13" s="98"/>
      <c r="H13" s="98"/>
      <c r="I13" s="98"/>
      <c r="J13" s="98"/>
      <c r="K13" s="98"/>
      <c r="L13" s="98"/>
      <c r="M13" s="98"/>
      <c r="N13" s="411"/>
      <c r="O13" s="412"/>
      <c r="P13" s="412"/>
      <c r="Q13" s="412"/>
      <c r="R13" s="412"/>
      <c r="S13" s="412"/>
      <c r="T13" s="413"/>
      <c r="U13" s="97"/>
    </row>
    <row r="14" spans="1:21" x14ac:dyDescent="0.25">
      <c r="A14" s="96"/>
      <c r="B14" s="149"/>
      <c r="C14" s="99"/>
      <c r="D14" s="99"/>
      <c r="E14" s="99"/>
      <c r="F14" s="99"/>
      <c r="G14" s="99"/>
      <c r="H14" s="99"/>
      <c r="I14" s="99"/>
      <c r="J14" s="99"/>
      <c r="K14" s="99"/>
      <c r="L14" s="99"/>
      <c r="M14" s="99"/>
      <c r="N14" s="99"/>
      <c r="O14" s="100"/>
      <c r="P14" s="100"/>
      <c r="Q14" s="100"/>
      <c r="R14" s="100"/>
      <c r="S14" s="100"/>
      <c r="T14" s="100"/>
      <c r="U14" s="97"/>
    </row>
    <row r="15" spans="1:21" x14ac:dyDescent="0.25">
      <c r="A15" s="96"/>
      <c r="B15" s="113"/>
      <c r="C15" s="418" t="s">
        <v>0</v>
      </c>
      <c r="D15" s="401" t="s">
        <v>95</v>
      </c>
      <c r="E15" s="401" t="s">
        <v>96</v>
      </c>
      <c r="F15" s="401"/>
      <c r="G15" s="401"/>
      <c r="H15" s="401" t="s">
        <v>97</v>
      </c>
      <c r="I15" s="401"/>
      <c r="J15" s="401"/>
      <c r="K15" s="111"/>
      <c r="L15" s="401" t="s">
        <v>94</v>
      </c>
      <c r="M15" s="418" t="s">
        <v>0</v>
      </c>
      <c r="N15" s="401" t="s">
        <v>95</v>
      </c>
      <c r="O15" s="401" t="s">
        <v>96</v>
      </c>
      <c r="P15" s="401"/>
      <c r="Q15" s="401"/>
      <c r="R15" s="401" t="s">
        <v>97</v>
      </c>
      <c r="S15" s="401"/>
      <c r="T15" s="401"/>
      <c r="U15" s="97"/>
    </row>
    <row r="16" spans="1:21" x14ac:dyDescent="0.25">
      <c r="A16" s="96"/>
      <c r="B16" s="114" t="s">
        <v>94</v>
      </c>
      <c r="C16" s="419"/>
      <c r="D16" s="401"/>
      <c r="E16" s="401"/>
      <c r="F16" s="401"/>
      <c r="G16" s="401"/>
      <c r="H16" s="401"/>
      <c r="I16" s="401"/>
      <c r="J16" s="401"/>
      <c r="K16" s="111"/>
      <c r="L16" s="401"/>
      <c r="M16" s="419"/>
      <c r="N16" s="401"/>
      <c r="O16" s="401"/>
      <c r="P16" s="401"/>
      <c r="Q16" s="401"/>
      <c r="R16" s="401"/>
      <c r="S16" s="401"/>
      <c r="T16" s="401"/>
      <c r="U16" s="97"/>
    </row>
    <row r="17" spans="1:21" x14ac:dyDescent="0.25">
      <c r="A17" s="96"/>
      <c r="B17" s="115"/>
      <c r="C17" s="420"/>
      <c r="D17" s="101" t="s">
        <v>98</v>
      </c>
      <c r="E17" s="101" t="s">
        <v>2</v>
      </c>
      <c r="F17" s="101" t="s">
        <v>3</v>
      </c>
      <c r="G17" s="101" t="s">
        <v>4</v>
      </c>
      <c r="H17" s="101" t="s">
        <v>2</v>
      </c>
      <c r="I17" s="101" t="s">
        <v>3</v>
      </c>
      <c r="J17" s="101" t="s">
        <v>4</v>
      </c>
      <c r="K17" s="111"/>
      <c r="L17" s="401"/>
      <c r="M17" s="420"/>
      <c r="N17" s="101" t="s">
        <v>98</v>
      </c>
      <c r="O17" s="101" t="s">
        <v>2</v>
      </c>
      <c r="P17" s="101" t="s">
        <v>3</v>
      </c>
      <c r="Q17" s="101" t="s">
        <v>4</v>
      </c>
      <c r="R17" s="101" t="s">
        <v>2</v>
      </c>
      <c r="S17" s="101" t="s">
        <v>3</v>
      </c>
      <c r="T17" s="101" t="s">
        <v>4</v>
      </c>
      <c r="U17" s="97"/>
    </row>
    <row r="18" spans="1:21" x14ac:dyDescent="0.25">
      <c r="A18" s="112"/>
      <c r="B18" s="102">
        <f>+IF(ISNUMBER(C18),1,"")</f>
        <v>1</v>
      </c>
      <c r="C18" s="425">
        <f>+IF('Cálculo Aforo'!C23&gt;0,1,"")</f>
        <v>1</v>
      </c>
      <c r="D18" s="421">
        <f>+IF(ISNUMBER('Cálculo Aforo'!E30),'Cálculo Aforo'!E30,"")</f>
        <v>0.46</v>
      </c>
      <c r="E18" s="102"/>
      <c r="F18" s="102"/>
      <c r="G18" s="102"/>
      <c r="H18" s="126">
        <f>+B54</f>
        <v>0.82599999999999996</v>
      </c>
      <c r="I18" s="126">
        <f>+E54</f>
        <v>0.80600000000000005</v>
      </c>
      <c r="J18" s="126" t="str">
        <f>+H54</f>
        <v/>
      </c>
      <c r="K18" s="111"/>
      <c r="L18" s="102">
        <f>+IF(ISNUMBER(M18),1,"")</f>
        <v>1</v>
      </c>
      <c r="M18" s="425">
        <f>+IF('Cálculo Aforo'!C23&gt;0,2,"")</f>
        <v>2</v>
      </c>
      <c r="N18" s="421">
        <f>+IF(ISNUMBER('Cálculo Aforo'!E32),'Cálculo Aforo'!E32,"")</f>
        <v>0.46</v>
      </c>
      <c r="O18" s="102"/>
      <c r="P18" s="102"/>
      <c r="Q18" s="102"/>
      <c r="R18" s="126">
        <f>+B55</f>
        <v>0.94599999999999995</v>
      </c>
      <c r="S18" s="126">
        <f>+E55</f>
        <v>0.88400000000000001</v>
      </c>
      <c r="T18" s="126" t="str">
        <f>+H55</f>
        <v/>
      </c>
      <c r="U18" s="97"/>
    </row>
    <row r="19" spans="1:21" x14ac:dyDescent="0.25">
      <c r="A19" s="112"/>
      <c r="B19" s="103">
        <f>+IF(ISNUMBER(C18),2,"")</f>
        <v>2</v>
      </c>
      <c r="C19" s="426"/>
      <c r="D19" s="426"/>
      <c r="E19" s="103"/>
      <c r="F19" s="103"/>
      <c r="G19" s="103"/>
      <c r="H19" s="127">
        <f>+C54</f>
        <v>0.82799999999999996</v>
      </c>
      <c r="I19" s="127">
        <f>+F54</f>
        <v>0.79600000000000004</v>
      </c>
      <c r="J19" s="127" t="str">
        <f>+I54</f>
        <v/>
      </c>
      <c r="K19" s="111"/>
      <c r="L19" s="103">
        <f>+IF(ISNUMBER(M18),2,"")</f>
        <v>2</v>
      </c>
      <c r="M19" s="426"/>
      <c r="N19" s="422"/>
      <c r="O19" s="103"/>
      <c r="P19" s="103"/>
      <c r="Q19" s="103"/>
      <c r="R19" s="127">
        <f>+C55</f>
        <v>0.95799999999999996</v>
      </c>
      <c r="S19" s="127">
        <f>+F55</f>
        <v>0.88300000000000001</v>
      </c>
      <c r="T19" s="127" t="str">
        <f>+I55</f>
        <v/>
      </c>
      <c r="U19" s="97"/>
    </row>
    <row r="20" spans="1:21" x14ac:dyDescent="0.25">
      <c r="A20" s="112"/>
      <c r="B20" s="104">
        <f>+IF(ISNUMBER(C18),3,"")</f>
        <v>3</v>
      </c>
      <c r="C20" s="427"/>
      <c r="D20" s="427"/>
      <c r="E20" s="104"/>
      <c r="F20" s="104"/>
      <c r="G20" s="104"/>
      <c r="H20" s="128">
        <f>+D54</f>
        <v>0.84099999999999997</v>
      </c>
      <c r="I20" s="128">
        <f>+G54</f>
        <v>0.81399999999999995</v>
      </c>
      <c r="J20" s="128" t="str">
        <f>+J54</f>
        <v/>
      </c>
      <c r="K20" s="111"/>
      <c r="L20" s="104">
        <f>+IF(ISNUMBER(M18),3,"")</f>
        <v>3</v>
      </c>
      <c r="M20" s="427"/>
      <c r="N20" s="423"/>
      <c r="O20" s="104"/>
      <c r="P20" s="104"/>
      <c r="Q20" s="104"/>
      <c r="R20" s="128">
        <f>+D55</f>
        <v>0.95399999999999996</v>
      </c>
      <c r="S20" s="128">
        <f>+G55</f>
        <v>0.88900000000000001</v>
      </c>
      <c r="T20" s="128" t="str">
        <f>+J55</f>
        <v/>
      </c>
      <c r="U20" s="97"/>
    </row>
    <row r="21" spans="1:21" x14ac:dyDescent="0.25">
      <c r="A21" s="112"/>
      <c r="B21" s="102">
        <f>+IF(ISNUMBER(C21),1,"")</f>
        <v>1</v>
      </c>
      <c r="C21" s="425">
        <f>+IF('Cálculo Aforo'!C23&gt;0,3,"")</f>
        <v>3</v>
      </c>
      <c r="D21" s="421">
        <f>+IF(ISNUMBER('Cálculo Aforo'!E34),'Cálculo Aforo'!E34,"")</f>
        <v>0.46</v>
      </c>
      <c r="E21" s="102"/>
      <c r="F21" s="102"/>
      <c r="G21" s="102"/>
      <c r="H21" s="126">
        <f>+B56</f>
        <v>0.98899999999999999</v>
      </c>
      <c r="I21" s="126">
        <f>+E56</f>
        <v>0.95399999999999996</v>
      </c>
      <c r="J21" s="126" t="str">
        <f>+H56</f>
        <v/>
      </c>
      <c r="K21" s="111"/>
      <c r="L21" s="102">
        <f>+IF(ISNUMBER(M21),1,"")</f>
        <v>1</v>
      </c>
      <c r="M21" s="425">
        <f>+IF('Cálculo Aforo'!C23&gt;0,4,"")</f>
        <v>4</v>
      </c>
      <c r="N21" s="421">
        <f>+IF(ISNUMBER('Cálculo Aforo'!E36),'Cálculo Aforo'!E36,"")</f>
        <v>0.46</v>
      </c>
      <c r="O21" s="102"/>
      <c r="P21" s="102"/>
      <c r="Q21" s="102"/>
      <c r="R21" s="126">
        <f>+B57</f>
        <v>1.0009999999999999</v>
      </c>
      <c r="S21" s="126">
        <f>+E57</f>
        <v>0.98299999999999998</v>
      </c>
      <c r="T21" s="126" t="str">
        <f>+H57</f>
        <v/>
      </c>
      <c r="U21" s="97"/>
    </row>
    <row r="22" spans="1:21" x14ac:dyDescent="0.25">
      <c r="A22" s="112"/>
      <c r="B22" s="103">
        <f>+IF(ISNUMBER(C21),2,"")</f>
        <v>2</v>
      </c>
      <c r="C22" s="426"/>
      <c r="D22" s="426"/>
      <c r="E22" s="103"/>
      <c r="F22" s="103"/>
      <c r="G22" s="103"/>
      <c r="H22" s="127">
        <f>+C56</f>
        <v>0.98499999999999999</v>
      </c>
      <c r="I22" s="127">
        <f>+F56</f>
        <v>0.94699999999999995</v>
      </c>
      <c r="J22" s="127" t="str">
        <f>+I56</f>
        <v/>
      </c>
      <c r="K22" s="111"/>
      <c r="L22" s="103">
        <f>+IF(ISNUMBER(M21),2,"")</f>
        <v>2</v>
      </c>
      <c r="M22" s="426"/>
      <c r="N22" s="422"/>
      <c r="O22" s="103"/>
      <c r="P22" s="103"/>
      <c r="Q22" s="103"/>
      <c r="R22" s="127">
        <f>+C57</f>
        <v>0.999</v>
      </c>
      <c r="S22" s="127">
        <f>+F57</f>
        <v>0.98799999999999999</v>
      </c>
      <c r="T22" s="127" t="str">
        <f>+I57</f>
        <v/>
      </c>
      <c r="U22" s="97"/>
    </row>
    <row r="23" spans="1:21" x14ac:dyDescent="0.25">
      <c r="A23" s="112"/>
      <c r="B23" s="104">
        <f>+IF(ISNUMBER(C21),3,"")</f>
        <v>3</v>
      </c>
      <c r="C23" s="427"/>
      <c r="D23" s="427"/>
      <c r="E23" s="104"/>
      <c r="F23" s="104"/>
      <c r="G23" s="104"/>
      <c r="H23" s="128">
        <f>+D56</f>
        <v>0.99399999999999999</v>
      </c>
      <c r="I23" s="128">
        <f>+G56</f>
        <v>0.94299999999999995</v>
      </c>
      <c r="J23" s="128" t="str">
        <f>+J56</f>
        <v/>
      </c>
      <c r="K23" s="111"/>
      <c r="L23" s="104">
        <f>+IF(ISNUMBER(M21),3,"")</f>
        <v>3</v>
      </c>
      <c r="M23" s="427"/>
      <c r="N23" s="423"/>
      <c r="O23" s="104"/>
      <c r="P23" s="104"/>
      <c r="Q23" s="104"/>
      <c r="R23" s="128">
        <f>+D57</f>
        <v>1.014</v>
      </c>
      <c r="S23" s="128">
        <f>+G57</f>
        <v>0.99399999999999999</v>
      </c>
      <c r="T23" s="128" t="str">
        <f>+J57</f>
        <v/>
      </c>
      <c r="U23" s="97"/>
    </row>
    <row r="24" spans="1:21" x14ac:dyDescent="0.25">
      <c r="A24" s="112"/>
      <c r="B24" s="102">
        <f>+IF(ISNUMBER(C24),1,"")</f>
        <v>1</v>
      </c>
      <c r="C24" s="425">
        <f>+IF('Cálculo Aforo'!C23&gt;4,5,"")</f>
        <v>5</v>
      </c>
      <c r="D24" s="421">
        <f>+IF(ISNUMBER('Cálculo Aforo'!E38),'Cálculo Aforo'!E38,"")</f>
        <v>0.46</v>
      </c>
      <c r="E24" s="102"/>
      <c r="F24" s="102"/>
      <c r="G24" s="102"/>
      <c r="H24" s="126">
        <f>+B58</f>
        <v>1.024</v>
      </c>
      <c r="I24" s="126">
        <f>+E58</f>
        <v>0.94699999999999995</v>
      </c>
      <c r="J24" s="126" t="str">
        <f>+H58</f>
        <v/>
      </c>
      <c r="K24" s="111"/>
      <c r="L24" s="102">
        <f>+IF(ISNUMBER(M24),1,"")</f>
        <v>1</v>
      </c>
      <c r="M24" s="425">
        <f>+IF('Cálculo Aforo'!C23&gt;4,6,"")</f>
        <v>6</v>
      </c>
      <c r="N24" s="421">
        <f>+IF(ISNUMBER('Cálculo Aforo'!E40),'Cálculo Aforo'!E40,"")</f>
        <v>0.46</v>
      </c>
      <c r="O24" s="102"/>
      <c r="P24" s="102"/>
      <c r="Q24" s="102"/>
      <c r="R24" s="126">
        <f>+B59</f>
        <v>0.871</v>
      </c>
      <c r="S24" s="126">
        <f>+E59</f>
        <v>0.91</v>
      </c>
      <c r="T24" s="126" t="str">
        <f>+H59</f>
        <v/>
      </c>
      <c r="U24" s="97"/>
    </row>
    <row r="25" spans="1:21" x14ac:dyDescent="0.25">
      <c r="A25" s="112"/>
      <c r="B25" s="103">
        <f>+IF(ISNUMBER(C24),2,"")</f>
        <v>2</v>
      </c>
      <c r="C25" s="426"/>
      <c r="D25" s="426"/>
      <c r="E25" s="103"/>
      <c r="F25" s="103"/>
      <c r="G25" s="103"/>
      <c r="H25" s="127">
        <f>+C58</f>
        <v>1.024</v>
      </c>
      <c r="I25" s="127">
        <f>+F58</f>
        <v>0.95499999999999996</v>
      </c>
      <c r="J25" s="127" t="str">
        <f>+I58</f>
        <v/>
      </c>
      <c r="K25" s="111"/>
      <c r="L25" s="103">
        <f>+IF(ISNUMBER(M24),2,"")</f>
        <v>2</v>
      </c>
      <c r="M25" s="426"/>
      <c r="N25" s="422"/>
      <c r="O25" s="103"/>
      <c r="P25" s="103"/>
      <c r="Q25" s="103"/>
      <c r="R25" s="127">
        <f>+C59</f>
        <v>0.88</v>
      </c>
      <c r="S25" s="127">
        <f>+F59</f>
        <v>0.89700000000000002</v>
      </c>
      <c r="T25" s="127" t="str">
        <f>+I59</f>
        <v/>
      </c>
      <c r="U25" s="97"/>
    </row>
    <row r="26" spans="1:21" x14ac:dyDescent="0.25">
      <c r="A26" s="112"/>
      <c r="B26" s="104">
        <f>+IF(ISNUMBER(C24),3,"")</f>
        <v>3</v>
      </c>
      <c r="C26" s="427"/>
      <c r="D26" s="427"/>
      <c r="E26" s="104"/>
      <c r="F26" s="104"/>
      <c r="G26" s="104"/>
      <c r="H26" s="128">
        <f>+D58</f>
        <v>1.0109999999999999</v>
      </c>
      <c r="I26" s="128">
        <f>+G58</f>
        <v>0.95899999999999996</v>
      </c>
      <c r="J26" s="128" t="str">
        <f>+J58</f>
        <v/>
      </c>
      <c r="K26" s="111"/>
      <c r="L26" s="104">
        <f>+IF(ISNUMBER(M24),3,"")</f>
        <v>3</v>
      </c>
      <c r="M26" s="427"/>
      <c r="N26" s="423"/>
      <c r="O26" s="104"/>
      <c r="P26" s="104"/>
      <c r="Q26" s="104"/>
      <c r="R26" s="128">
        <f>+D59</f>
        <v>0.872</v>
      </c>
      <c r="S26" s="128">
        <f>+G59</f>
        <v>0.9</v>
      </c>
      <c r="T26" s="128" t="str">
        <f>+J59</f>
        <v/>
      </c>
      <c r="U26" s="97"/>
    </row>
    <row r="27" spans="1:21" x14ac:dyDescent="0.25">
      <c r="A27" s="112"/>
      <c r="B27" s="102" t="str">
        <f>+IF(ISNUMBER(C27),1,"")</f>
        <v/>
      </c>
      <c r="C27" s="425" t="str">
        <f>+IF('Cálculo Aforo'!C23&gt;6,7,"")</f>
        <v/>
      </c>
      <c r="D27" s="421">
        <f>+IF(ISNUMBER('Cálculo Aforo'!E42),'Cálculo Aforo'!E42,"")</f>
        <v>0.46</v>
      </c>
      <c r="E27" s="102"/>
      <c r="F27" s="102"/>
      <c r="G27" s="102"/>
      <c r="H27" s="126" t="str">
        <f>+B60</f>
        <v/>
      </c>
      <c r="I27" s="126" t="str">
        <f>+E60</f>
        <v/>
      </c>
      <c r="J27" s="126" t="str">
        <f>+H60</f>
        <v/>
      </c>
      <c r="K27" s="111"/>
      <c r="L27" s="102" t="str">
        <f>+IF(ISNUMBER(M27),1,"")</f>
        <v/>
      </c>
      <c r="M27" s="425" t="str">
        <f>+IF('Cálculo Aforo'!C23&gt;6,8,"")</f>
        <v/>
      </c>
      <c r="N27" s="421" t="str">
        <f>+IF(ISNUMBER('Cálculo Aforo'!E44),'Cálculo Aforo'!E44,"")</f>
        <v/>
      </c>
      <c r="O27" s="102"/>
      <c r="P27" s="102"/>
      <c r="Q27" s="102"/>
      <c r="R27" s="126" t="str">
        <f>+B61</f>
        <v/>
      </c>
      <c r="S27" s="126" t="str">
        <f>+E61</f>
        <v/>
      </c>
      <c r="T27" s="126" t="str">
        <f>+H61</f>
        <v/>
      </c>
      <c r="U27" s="97"/>
    </row>
    <row r="28" spans="1:21" x14ac:dyDescent="0.25">
      <c r="A28" s="112"/>
      <c r="B28" s="103" t="str">
        <f>+IF(ISNUMBER(C27),2,"")</f>
        <v/>
      </c>
      <c r="C28" s="426"/>
      <c r="D28" s="426"/>
      <c r="E28" s="103"/>
      <c r="F28" s="103"/>
      <c r="G28" s="103"/>
      <c r="H28" s="127" t="str">
        <f>+C60</f>
        <v/>
      </c>
      <c r="I28" s="127" t="str">
        <f>+F60</f>
        <v/>
      </c>
      <c r="J28" s="127" t="str">
        <f>+I60</f>
        <v/>
      </c>
      <c r="K28" s="111"/>
      <c r="L28" s="103" t="str">
        <f>+IF(ISNUMBER(M27),2,"")</f>
        <v/>
      </c>
      <c r="M28" s="426"/>
      <c r="N28" s="422"/>
      <c r="O28" s="103"/>
      <c r="P28" s="103"/>
      <c r="Q28" s="103"/>
      <c r="R28" s="127" t="str">
        <f>+C61</f>
        <v/>
      </c>
      <c r="S28" s="127" t="str">
        <f>+F61</f>
        <v/>
      </c>
      <c r="T28" s="127" t="str">
        <f>+I61</f>
        <v/>
      </c>
      <c r="U28" s="97"/>
    </row>
    <row r="29" spans="1:21" x14ac:dyDescent="0.25">
      <c r="A29" s="112"/>
      <c r="B29" s="104" t="str">
        <f>+IF(ISNUMBER(C27),3,"")</f>
        <v/>
      </c>
      <c r="C29" s="427"/>
      <c r="D29" s="427"/>
      <c r="E29" s="104"/>
      <c r="F29" s="104"/>
      <c r="G29" s="104"/>
      <c r="H29" s="128" t="str">
        <f>+D60</f>
        <v/>
      </c>
      <c r="I29" s="128" t="str">
        <f>+G60</f>
        <v/>
      </c>
      <c r="J29" s="128" t="str">
        <f>+J60</f>
        <v/>
      </c>
      <c r="K29" s="111"/>
      <c r="L29" s="104" t="str">
        <f>+IF(ISNUMBER(M27),3,"")</f>
        <v/>
      </c>
      <c r="M29" s="427"/>
      <c r="N29" s="423"/>
      <c r="O29" s="104"/>
      <c r="P29" s="104"/>
      <c r="Q29" s="104"/>
      <c r="R29" s="128" t="str">
        <f>+D61</f>
        <v/>
      </c>
      <c r="S29" s="128" t="str">
        <f>+G61</f>
        <v/>
      </c>
      <c r="T29" s="128" t="str">
        <f>+J61</f>
        <v/>
      </c>
      <c r="U29" s="97"/>
    </row>
    <row r="30" spans="1:21" x14ac:dyDescent="0.25">
      <c r="A30" s="112"/>
      <c r="B30" s="102" t="str">
        <f>+IF(ISNUMBER(C30),1,"")</f>
        <v/>
      </c>
      <c r="C30" s="425" t="str">
        <f>+IF('Cálculo Aforo'!C23&gt;6,9,"")</f>
        <v/>
      </c>
      <c r="D30" s="421" t="str">
        <f>+IF(ISNUMBER('Cálculo Aforo'!E46),'Cálculo Aforo'!E46,"")</f>
        <v/>
      </c>
      <c r="E30" s="102"/>
      <c r="F30" s="102"/>
      <c r="G30" s="102"/>
      <c r="H30" s="126" t="str">
        <f>+B62</f>
        <v/>
      </c>
      <c r="I30" s="126" t="str">
        <f>+E62</f>
        <v/>
      </c>
      <c r="J30" s="126" t="str">
        <f>+H62</f>
        <v/>
      </c>
      <c r="K30" s="111"/>
      <c r="L30" s="102" t="str">
        <f>+IF(ISNUMBER(M30),1,"")</f>
        <v/>
      </c>
      <c r="M30" s="425" t="str">
        <f>+IF('Cálculo Aforo'!C23&gt;6,10,"")</f>
        <v/>
      </c>
      <c r="N30" s="421" t="str">
        <f>+IF(ISNUMBER('Cálculo Aforo'!E48),'Cálculo Aforo'!E48,"")</f>
        <v/>
      </c>
      <c r="O30" s="102"/>
      <c r="P30" s="102"/>
      <c r="Q30" s="102"/>
      <c r="R30" s="126" t="str">
        <f>+B63</f>
        <v/>
      </c>
      <c r="S30" s="126" t="str">
        <f>+E63</f>
        <v/>
      </c>
      <c r="T30" s="126" t="str">
        <f>+H63</f>
        <v/>
      </c>
      <c r="U30" s="97"/>
    </row>
    <row r="31" spans="1:21" x14ac:dyDescent="0.25">
      <c r="A31" s="112"/>
      <c r="B31" s="103" t="str">
        <f>+IF(ISNUMBER(C30),2,"")</f>
        <v/>
      </c>
      <c r="C31" s="426"/>
      <c r="D31" s="426"/>
      <c r="E31" s="103"/>
      <c r="F31" s="103"/>
      <c r="G31" s="103"/>
      <c r="H31" s="127" t="str">
        <f>+C62</f>
        <v/>
      </c>
      <c r="I31" s="127" t="str">
        <f>+F62</f>
        <v/>
      </c>
      <c r="J31" s="127" t="str">
        <f>+I62</f>
        <v/>
      </c>
      <c r="K31" s="111"/>
      <c r="L31" s="103" t="str">
        <f>+IF(ISNUMBER(M30),2,"")</f>
        <v/>
      </c>
      <c r="M31" s="426"/>
      <c r="N31" s="422"/>
      <c r="O31" s="103"/>
      <c r="P31" s="103"/>
      <c r="Q31" s="103"/>
      <c r="R31" s="127" t="str">
        <f>+C63</f>
        <v/>
      </c>
      <c r="S31" s="127" t="str">
        <f>+F63</f>
        <v/>
      </c>
      <c r="T31" s="127" t="str">
        <f>+I63</f>
        <v/>
      </c>
      <c r="U31" s="97"/>
    </row>
    <row r="32" spans="1:21" x14ac:dyDescent="0.25">
      <c r="A32" s="112"/>
      <c r="B32" s="104" t="str">
        <f>+IF(ISNUMBER(C30),3,"")</f>
        <v/>
      </c>
      <c r="C32" s="427"/>
      <c r="D32" s="427"/>
      <c r="E32" s="104"/>
      <c r="F32" s="104"/>
      <c r="G32" s="104"/>
      <c r="H32" s="128" t="str">
        <f>+D62</f>
        <v/>
      </c>
      <c r="I32" s="128" t="str">
        <f>+G62</f>
        <v/>
      </c>
      <c r="J32" s="128" t="str">
        <f>+J62</f>
        <v/>
      </c>
      <c r="K32" s="111"/>
      <c r="L32" s="104" t="str">
        <f>+IF(ISNUMBER(M30),3,"")</f>
        <v/>
      </c>
      <c r="M32" s="427"/>
      <c r="N32" s="423"/>
      <c r="O32" s="104"/>
      <c r="P32" s="104"/>
      <c r="Q32" s="104"/>
      <c r="R32" s="128" t="str">
        <f>+D63</f>
        <v/>
      </c>
      <c r="S32" s="128" t="str">
        <f>+G63</f>
        <v/>
      </c>
      <c r="T32" s="128" t="str">
        <f>+J63</f>
        <v/>
      </c>
      <c r="U32" s="97"/>
    </row>
    <row r="33" spans="1:21" x14ac:dyDescent="0.25">
      <c r="A33" s="112"/>
      <c r="B33" s="102" t="str">
        <f>+IF(ISNUMBER(C33),1,"")</f>
        <v/>
      </c>
      <c r="C33" s="425" t="str">
        <f>+IF('Cálculo Aforo'!C23&gt;10,11,"")</f>
        <v/>
      </c>
      <c r="D33" s="421" t="str">
        <f>+IF(ISNUMBER('Cálculo Aforo'!E50),'Cálculo Aforo'!E50,"")</f>
        <v/>
      </c>
      <c r="E33" s="102"/>
      <c r="F33" s="102"/>
      <c r="G33" s="102"/>
      <c r="H33" s="126" t="str">
        <f>+B64</f>
        <v/>
      </c>
      <c r="I33" s="126" t="str">
        <f>+E64</f>
        <v/>
      </c>
      <c r="J33" s="126" t="str">
        <f>+H64</f>
        <v/>
      </c>
      <c r="K33" s="111"/>
      <c r="L33" s="102" t="str">
        <f>+IF(ISNUMBER(M33),1,"")</f>
        <v/>
      </c>
      <c r="M33" s="425" t="str">
        <f>+IF('Cálculo Aforo'!C23&gt;10,12,"")</f>
        <v/>
      </c>
      <c r="N33" s="421" t="str">
        <f>+IF(ISNUMBER('Cálculo Aforo'!E52),'Cálculo Aforo'!E52,"")</f>
        <v/>
      </c>
      <c r="O33" s="102"/>
      <c r="P33" s="102"/>
      <c r="Q33" s="102"/>
      <c r="R33" s="126" t="str">
        <f>+B65</f>
        <v/>
      </c>
      <c r="S33" s="126" t="str">
        <f>+E65</f>
        <v/>
      </c>
      <c r="T33" s="126" t="str">
        <f>+H65</f>
        <v/>
      </c>
      <c r="U33" s="97"/>
    </row>
    <row r="34" spans="1:21" x14ac:dyDescent="0.25">
      <c r="A34" s="112"/>
      <c r="B34" s="103" t="str">
        <f>+IF(ISNUMBER(C33),2,"")</f>
        <v/>
      </c>
      <c r="C34" s="426"/>
      <c r="D34" s="426"/>
      <c r="E34" s="103"/>
      <c r="F34" s="103"/>
      <c r="G34" s="103"/>
      <c r="H34" s="127" t="str">
        <f>+C64</f>
        <v/>
      </c>
      <c r="I34" s="127" t="str">
        <f>+F64</f>
        <v/>
      </c>
      <c r="J34" s="127" t="str">
        <f>+I64</f>
        <v/>
      </c>
      <c r="K34" s="111"/>
      <c r="L34" s="103" t="str">
        <f>+IF(ISNUMBER(M33),2,"")</f>
        <v/>
      </c>
      <c r="M34" s="426"/>
      <c r="N34" s="422"/>
      <c r="O34" s="103"/>
      <c r="P34" s="103"/>
      <c r="Q34" s="103"/>
      <c r="R34" s="127" t="str">
        <f>+C65</f>
        <v/>
      </c>
      <c r="S34" s="127" t="str">
        <f>+F65</f>
        <v/>
      </c>
      <c r="T34" s="127" t="str">
        <f>+I65</f>
        <v/>
      </c>
      <c r="U34" s="97"/>
    </row>
    <row r="35" spans="1:21" x14ac:dyDescent="0.25">
      <c r="A35" s="112"/>
      <c r="B35" s="104" t="str">
        <f>+IF(ISNUMBER(C33),3,"")</f>
        <v/>
      </c>
      <c r="C35" s="427"/>
      <c r="D35" s="427"/>
      <c r="E35" s="104"/>
      <c r="F35" s="104"/>
      <c r="G35" s="104"/>
      <c r="H35" s="128" t="str">
        <f>+D64</f>
        <v/>
      </c>
      <c r="I35" s="128" t="str">
        <f>+G64</f>
        <v/>
      </c>
      <c r="J35" s="128" t="str">
        <f>+J64</f>
        <v/>
      </c>
      <c r="K35" s="111"/>
      <c r="L35" s="104" t="str">
        <f>+IF(ISNUMBER(M33),3,"")</f>
        <v/>
      </c>
      <c r="M35" s="427"/>
      <c r="N35" s="423"/>
      <c r="O35" s="104"/>
      <c r="P35" s="104"/>
      <c r="Q35" s="104"/>
      <c r="R35" s="128" t="str">
        <f>+D65</f>
        <v/>
      </c>
      <c r="S35" s="128" t="str">
        <f>+G65</f>
        <v/>
      </c>
      <c r="T35" s="128" t="str">
        <f>+J65</f>
        <v/>
      </c>
      <c r="U35" s="97"/>
    </row>
    <row r="36" spans="1:21" x14ac:dyDescent="0.25">
      <c r="A36" s="112"/>
      <c r="B36" s="102" t="str">
        <f>+IF(ISNUMBER(C36),1,"")</f>
        <v/>
      </c>
      <c r="C36" s="425" t="str">
        <f>+IF('Cálculo Aforo'!C23&gt;10,13,"")</f>
        <v/>
      </c>
      <c r="D36" s="421" t="str">
        <f>+IF(ISNUMBER('Cálculo Aforo'!E54),'Cálculo Aforo'!E54,"")</f>
        <v/>
      </c>
      <c r="E36" s="102"/>
      <c r="F36" s="102"/>
      <c r="G36" s="102"/>
      <c r="H36" s="126" t="str">
        <f>+B66</f>
        <v/>
      </c>
      <c r="I36" s="126" t="str">
        <f>+E66</f>
        <v/>
      </c>
      <c r="J36" s="126" t="str">
        <f>+H66</f>
        <v/>
      </c>
      <c r="K36" s="111"/>
      <c r="L36" s="102" t="str">
        <f>+IF(ISNUMBER(M36),1,"")</f>
        <v/>
      </c>
      <c r="M36" s="425" t="str">
        <f>+IF('Cálculo Aforo'!C23&gt;10,14,"")</f>
        <v/>
      </c>
      <c r="N36" s="421" t="str">
        <f>+IF(ISNUMBER('Cálculo Aforo'!E56),'Cálculo Aforo'!E56,"")</f>
        <v/>
      </c>
      <c r="O36" s="102"/>
      <c r="P36" s="102"/>
      <c r="Q36" s="102"/>
      <c r="R36" s="126" t="str">
        <f>+B67</f>
        <v/>
      </c>
      <c r="S36" s="126" t="str">
        <f>+E67</f>
        <v/>
      </c>
      <c r="T36" s="126" t="str">
        <f>+H67</f>
        <v/>
      </c>
      <c r="U36" s="97"/>
    </row>
    <row r="37" spans="1:21" x14ac:dyDescent="0.25">
      <c r="A37" s="112"/>
      <c r="B37" s="103" t="str">
        <f>+IF(ISNUMBER(C36),2,"")</f>
        <v/>
      </c>
      <c r="C37" s="426"/>
      <c r="D37" s="426"/>
      <c r="E37" s="103"/>
      <c r="F37" s="103"/>
      <c r="G37" s="103"/>
      <c r="H37" s="127" t="str">
        <f>+C66</f>
        <v/>
      </c>
      <c r="I37" s="127" t="str">
        <f>+F66</f>
        <v/>
      </c>
      <c r="J37" s="127" t="str">
        <f>+I66</f>
        <v/>
      </c>
      <c r="K37" s="111"/>
      <c r="L37" s="103" t="str">
        <f>+IF(ISNUMBER(M36),2,"")</f>
        <v/>
      </c>
      <c r="M37" s="426"/>
      <c r="N37" s="422"/>
      <c r="O37" s="103"/>
      <c r="P37" s="103"/>
      <c r="Q37" s="103"/>
      <c r="R37" s="127" t="str">
        <f>+C67</f>
        <v/>
      </c>
      <c r="S37" s="127" t="str">
        <f>+F67</f>
        <v/>
      </c>
      <c r="T37" s="127" t="str">
        <f>+I67</f>
        <v/>
      </c>
      <c r="U37" s="97"/>
    </row>
    <row r="38" spans="1:21" x14ac:dyDescent="0.25">
      <c r="A38" s="112"/>
      <c r="B38" s="104" t="str">
        <f>+IF(ISNUMBER(C36),3,"")</f>
        <v/>
      </c>
      <c r="C38" s="427"/>
      <c r="D38" s="427"/>
      <c r="E38" s="104"/>
      <c r="F38" s="104"/>
      <c r="G38" s="104"/>
      <c r="H38" s="128" t="str">
        <f>+D66</f>
        <v/>
      </c>
      <c r="I38" s="128" t="str">
        <f>+G66</f>
        <v/>
      </c>
      <c r="J38" s="128" t="str">
        <f>+J66</f>
        <v/>
      </c>
      <c r="K38" s="111"/>
      <c r="L38" s="104" t="str">
        <f>+IF(ISNUMBER(M36),3,"")</f>
        <v/>
      </c>
      <c r="M38" s="427"/>
      <c r="N38" s="423"/>
      <c r="O38" s="104"/>
      <c r="P38" s="104"/>
      <c r="Q38" s="104"/>
      <c r="R38" s="128" t="str">
        <f>+D67</f>
        <v/>
      </c>
      <c r="S38" s="128" t="str">
        <f>+G67</f>
        <v/>
      </c>
      <c r="T38" s="128" t="str">
        <f>+J67</f>
        <v/>
      </c>
      <c r="U38" s="97"/>
    </row>
    <row r="39" spans="1:21" x14ac:dyDescent="0.25">
      <c r="A39" s="112"/>
      <c r="B39" s="102" t="str">
        <f>+IF(ISNUMBER(C39),1,"")</f>
        <v/>
      </c>
      <c r="C39" s="425" t="str">
        <f>+IF('Cálculo Aforo'!C23&gt;10,15,"")</f>
        <v/>
      </c>
      <c r="D39" s="421" t="str">
        <f>+IF(ISNUMBER('Cálculo Aforo'!E58),'Cálculo Aforo'!E58,"")</f>
        <v/>
      </c>
      <c r="E39" s="102"/>
      <c r="F39" s="102"/>
      <c r="G39" s="102"/>
      <c r="H39" s="126" t="str">
        <f>+B68</f>
        <v/>
      </c>
      <c r="I39" s="126" t="str">
        <f>+E68</f>
        <v/>
      </c>
      <c r="J39" s="126" t="str">
        <f>+H68</f>
        <v/>
      </c>
      <c r="K39" s="111"/>
      <c r="L39" s="102" t="str">
        <f>+IF(ISNUMBER(M39),1,"")</f>
        <v/>
      </c>
      <c r="M39" s="425" t="str">
        <f>+IF('Cálculo Aforo'!C23&gt;10,16,"")</f>
        <v/>
      </c>
      <c r="N39" s="421" t="str">
        <f>+IF(ISNUMBER('Cálculo Aforo'!E60),'Cálculo Aforo'!E60,"")</f>
        <v/>
      </c>
      <c r="O39" s="102"/>
      <c r="P39" s="102"/>
      <c r="Q39" s="102"/>
      <c r="R39" s="126" t="str">
        <f>+B69</f>
        <v/>
      </c>
      <c r="S39" s="126" t="str">
        <f>+E69</f>
        <v/>
      </c>
      <c r="T39" s="126" t="str">
        <f>+H69</f>
        <v/>
      </c>
      <c r="U39" s="97"/>
    </row>
    <row r="40" spans="1:21" x14ac:dyDescent="0.25">
      <c r="A40" s="112"/>
      <c r="B40" s="103" t="str">
        <f>+IF(ISNUMBER(C39),2,"")</f>
        <v/>
      </c>
      <c r="C40" s="426"/>
      <c r="D40" s="426"/>
      <c r="E40" s="103"/>
      <c r="F40" s="103"/>
      <c r="G40" s="103"/>
      <c r="H40" s="127" t="str">
        <f>+C68</f>
        <v/>
      </c>
      <c r="I40" s="127" t="str">
        <f>+F68</f>
        <v/>
      </c>
      <c r="J40" s="127" t="str">
        <f>+I68</f>
        <v/>
      </c>
      <c r="K40" s="111"/>
      <c r="L40" s="103" t="str">
        <f>+IF(ISNUMBER(M39),2,"")</f>
        <v/>
      </c>
      <c r="M40" s="426"/>
      <c r="N40" s="422"/>
      <c r="O40" s="103"/>
      <c r="P40" s="103"/>
      <c r="Q40" s="103"/>
      <c r="R40" s="127" t="str">
        <f>+C69</f>
        <v/>
      </c>
      <c r="S40" s="127" t="str">
        <f>+F69</f>
        <v/>
      </c>
      <c r="T40" s="127" t="str">
        <f>+I69</f>
        <v/>
      </c>
      <c r="U40" s="97"/>
    </row>
    <row r="41" spans="1:21" x14ac:dyDescent="0.25">
      <c r="A41" s="112"/>
      <c r="B41" s="104" t="str">
        <f>+IF(ISNUMBER(C39),3,"")</f>
        <v/>
      </c>
      <c r="C41" s="427"/>
      <c r="D41" s="427"/>
      <c r="E41" s="104"/>
      <c r="F41" s="104"/>
      <c r="G41" s="104"/>
      <c r="H41" s="128" t="str">
        <f>+D68</f>
        <v/>
      </c>
      <c r="I41" s="128" t="str">
        <f>+G68</f>
        <v/>
      </c>
      <c r="J41" s="128" t="str">
        <f>+J68</f>
        <v/>
      </c>
      <c r="K41" s="111"/>
      <c r="L41" s="104" t="str">
        <f>+IF(ISNUMBER(M39),3,"")</f>
        <v/>
      </c>
      <c r="M41" s="427"/>
      <c r="N41" s="423"/>
      <c r="O41" s="104"/>
      <c r="P41" s="104"/>
      <c r="Q41" s="104"/>
      <c r="R41" s="128" t="str">
        <f>+D69</f>
        <v/>
      </c>
      <c r="S41" s="128" t="str">
        <f>+G69</f>
        <v/>
      </c>
      <c r="T41" s="128" t="str">
        <f>+J69</f>
        <v/>
      </c>
      <c r="U41" s="97"/>
    </row>
    <row r="42" spans="1:21" x14ac:dyDescent="0.25">
      <c r="A42" s="96"/>
      <c r="B42" s="146"/>
      <c r="C42" s="111"/>
      <c r="D42" s="111"/>
      <c r="E42" s="111"/>
      <c r="F42" s="111"/>
      <c r="G42" s="111"/>
      <c r="H42" s="111"/>
      <c r="I42" s="111"/>
      <c r="J42" s="111"/>
      <c r="K42" s="111"/>
      <c r="L42" s="111"/>
      <c r="M42" s="111"/>
      <c r="N42" s="111"/>
      <c r="O42" s="111"/>
      <c r="P42" s="111"/>
      <c r="Q42" s="111"/>
      <c r="R42" s="111"/>
      <c r="S42" s="111"/>
      <c r="T42" s="111"/>
      <c r="U42" s="97"/>
    </row>
    <row r="43" spans="1:21" x14ac:dyDescent="0.25">
      <c r="A43" s="96"/>
      <c r="B43" s="105" t="s">
        <v>99</v>
      </c>
      <c r="C43" s="428"/>
      <c r="D43" s="428"/>
      <c r="E43" s="428"/>
      <c r="F43" s="428"/>
      <c r="G43" s="428"/>
      <c r="H43" s="428"/>
      <c r="I43" s="428"/>
      <c r="J43" s="428"/>
      <c r="K43" s="428"/>
      <c r="L43" s="428"/>
      <c r="M43" s="428"/>
      <c r="N43" s="428"/>
      <c r="O43" s="428"/>
      <c r="P43" s="428"/>
      <c r="Q43" s="428"/>
      <c r="R43" s="428"/>
      <c r="S43" s="428"/>
      <c r="T43" s="429"/>
      <c r="U43" s="97"/>
    </row>
    <row r="44" spans="1:21" x14ac:dyDescent="0.25">
      <c r="A44" s="96"/>
      <c r="B44" s="106"/>
      <c r="C44" s="430"/>
      <c r="D44" s="430"/>
      <c r="E44" s="430"/>
      <c r="F44" s="430"/>
      <c r="G44" s="430"/>
      <c r="H44" s="430"/>
      <c r="I44" s="430"/>
      <c r="J44" s="430"/>
      <c r="K44" s="430"/>
      <c r="L44" s="430"/>
      <c r="M44" s="430"/>
      <c r="N44" s="430"/>
      <c r="O44" s="430"/>
      <c r="P44" s="430"/>
      <c r="Q44" s="430"/>
      <c r="R44" s="430"/>
      <c r="S44" s="430"/>
      <c r="T44" s="431"/>
      <c r="U44" s="97"/>
    </row>
    <row r="45" spans="1:21" x14ac:dyDescent="0.25">
      <c r="A45" s="96"/>
      <c r="B45" s="146"/>
      <c r="C45" s="111"/>
      <c r="D45" s="111"/>
      <c r="E45" s="111"/>
      <c r="F45" s="111"/>
      <c r="G45" s="111"/>
      <c r="H45" s="111"/>
      <c r="I45" s="111"/>
      <c r="J45" s="111"/>
      <c r="K45" s="111"/>
      <c r="L45" s="111"/>
      <c r="M45" s="111"/>
      <c r="N45" s="111"/>
      <c r="O45" s="111"/>
      <c r="P45" s="111"/>
      <c r="Q45" s="111"/>
      <c r="R45" s="111"/>
      <c r="S45" s="111"/>
      <c r="T45" s="111"/>
      <c r="U45" s="97"/>
    </row>
    <row r="46" spans="1:21" x14ac:dyDescent="0.25">
      <c r="A46" s="96"/>
      <c r="B46" s="146"/>
      <c r="C46" s="111"/>
      <c r="D46" s="111"/>
      <c r="E46" s="111"/>
      <c r="F46" s="111"/>
      <c r="G46" s="111"/>
      <c r="H46" s="111"/>
      <c r="I46" s="111"/>
      <c r="J46" s="111"/>
      <c r="K46" s="111"/>
      <c r="L46" s="111"/>
      <c r="M46" s="111"/>
      <c r="N46" s="111"/>
      <c r="O46" s="111"/>
      <c r="P46" s="111"/>
      <c r="Q46" s="111"/>
      <c r="R46" s="111"/>
      <c r="S46" s="111"/>
      <c r="T46" s="111"/>
      <c r="U46" s="97"/>
    </row>
    <row r="47" spans="1:21" ht="15" customHeight="1" x14ac:dyDescent="0.25">
      <c r="A47" s="96"/>
      <c r="B47" s="424" t="s">
        <v>100</v>
      </c>
      <c r="C47" s="424"/>
      <c r="D47" s="424"/>
      <c r="E47" s="111"/>
      <c r="F47" s="111"/>
      <c r="G47" s="111"/>
      <c r="H47" s="424" t="s">
        <v>101</v>
      </c>
      <c r="I47" s="424"/>
      <c r="J47" s="424"/>
      <c r="K47" s="111"/>
      <c r="L47" s="111"/>
      <c r="M47" s="111"/>
      <c r="N47" s="111"/>
      <c r="O47" s="424" t="s">
        <v>102</v>
      </c>
      <c r="P47" s="424"/>
      <c r="Q47" s="424"/>
      <c r="R47" s="111"/>
      <c r="S47" s="111"/>
      <c r="T47" s="111"/>
      <c r="U47" s="97"/>
    </row>
    <row r="48" spans="1:21" ht="15.75" customHeight="1" thickBot="1" x14ac:dyDescent="0.3">
      <c r="A48" s="107"/>
      <c r="B48" s="432" t="s">
        <v>103</v>
      </c>
      <c r="C48" s="432"/>
      <c r="D48" s="432"/>
      <c r="E48" s="108"/>
      <c r="F48" s="108"/>
      <c r="G48" s="108"/>
      <c r="H48" s="432" t="s">
        <v>103</v>
      </c>
      <c r="I48" s="432"/>
      <c r="J48" s="432"/>
      <c r="K48" s="108"/>
      <c r="L48" s="108"/>
      <c r="M48" s="108"/>
      <c r="N48" s="108"/>
      <c r="O48" s="432" t="s">
        <v>103</v>
      </c>
      <c r="P48" s="432"/>
      <c r="Q48" s="432"/>
      <c r="R48" s="108"/>
      <c r="S48" s="108"/>
      <c r="T48" s="108"/>
      <c r="U48" s="109"/>
    </row>
    <row r="50" spans="1:10" hidden="1" x14ac:dyDescent="0.25"/>
    <row r="51" spans="1:10" hidden="1" x14ac:dyDescent="0.25"/>
    <row r="52" spans="1:10" hidden="1" x14ac:dyDescent="0.25">
      <c r="B52" t="s">
        <v>10</v>
      </c>
    </row>
    <row r="53" spans="1:10" hidden="1" x14ac:dyDescent="0.25">
      <c r="B53" t="s">
        <v>16</v>
      </c>
      <c r="C53" t="s">
        <v>17</v>
      </c>
      <c r="D53" t="s">
        <v>18</v>
      </c>
      <c r="E53" t="s">
        <v>19</v>
      </c>
      <c r="F53" t="s">
        <v>20</v>
      </c>
      <c r="G53" t="s">
        <v>21</v>
      </c>
      <c r="H53" t="s">
        <v>22</v>
      </c>
      <c r="I53" t="s">
        <v>23</v>
      </c>
      <c r="J53" t="s">
        <v>24</v>
      </c>
    </row>
    <row r="54" spans="1:10" hidden="1" x14ac:dyDescent="0.25">
      <c r="A54">
        <v>1</v>
      </c>
      <c r="B54" s="117">
        <f>+IF(ISNUMBER('Cálculo Aforo'!W30),('Cálculo Aforo'!W30),"")</f>
        <v>0.82599999999999996</v>
      </c>
      <c r="C54" s="118">
        <f>+IF(ISNUMBER('Cálculo Aforo'!X30),('Cálculo Aforo'!X30),"")</f>
        <v>0.82799999999999996</v>
      </c>
      <c r="D54" s="119">
        <f>+IF(ISNUMBER('Cálculo Aforo'!Y30),('Cálculo Aforo'!Y30),"")</f>
        <v>0.84099999999999997</v>
      </c>
      <c r="E54" s="117">
        <f>+IF(ISNUMBER('Cálculo Aforo'!Z30),('Cálculo Aforo'!Z30),"")</f>
        <v>0.80600000000000005</v>
      </c>
      <c r="F54" s="118">
        <f>+IF(ISNUMBER('Cálculo Aforo'!AA30),('Cálculo Aforo'!AA30),"")</f>
        <v>0.79600000000000004</v>
      </c>
      <c r="G54" s="119">
        <f>+IF(ISNUMBER('Cálculo Aforo'!AB30),('Cálculo Aforo'!AB30),"")</f>
        <v>0.81399999999999995</v>
      </c>
      <c r="H54" s="117" t="str">
        <f>+IF(ISNUMBER('Cálculo Aforo'!AC30),('Cálculo Aforo'!AC30),"")</f>
        <v/>
      </c>
      <c r="I54" s="118" t="str">
        <f>+IF(ISNUMBER('Cálculo Aforo'!AD30),('Cálculo Aforo'!AD30),"")</f>
        <v/>
      </c>
      <c r="J54" s="119" t="str">
        <f>+IF(ISNUMBER('Cálculo Aforo'!AE30),('Cálculo Aforo'!AE30),"")</f>
        <v/>
      </c>
    </row>
    <row r="55" spans="1:10" hidden="1" x14ac:dyDescent="0.25">
      <c r="A55">
        <v>2</v>
      </c>
      <c r="B55" s="120">
        <f>+IF(ISNUMBER('Cálculo Aforo'!W32),('Cálculo Aforo'!W32),"")</f>
        <v>0.94599999999999995</v>
      </c>
      <c r="C55" s="121">
        <f>+IF(ISNUMBER('Cálculo Aforo'!X32),('Cálculo Aforo'!X32),"")</f>
        <v>0.95799999999999996</v>
      </c>
      <c r="D55" s="122">
        <f>+IF(ISNUMBER('Cálculo Aforo'!Y32),('Cálculo Aforo'!Y32),"")</f>
        <v>0.95399999999999996</v>
      </c>
      <c r="E55" s="120">
        <f>+IF(ISNUMBER('Cálculo Aforo'!Z32),('Cálculo Aforo'!Z32),"")</f>
        <v>0.88400000000000001</v>
      </c>
      <c r="F55" s="121">
        <f>+IF(ISNUMBER('Cálculo Aforo'!AA32),('Cálculo Aforo'!AA32),"")</f>
        <v>0.88300000000000001</v>
      </c>
      <c r="G55" s="122">
        <f>+IF(ISNUMBER('Cálculo Aforo'!AB32),('Cálculo Aforo'!AB32),"")</f>
        <v>0.88900000000000001</v>
      </c>
      <c r="H55" s="120" t="str">
        <f>+IF(ISNUMBER('Cálculo Aforo'!AC32),('Cálculo Aforo'!AC32),"")</f>
        <v/>
      </c>
      <c r="I55" s="121" t="str">
        <f>+IF(ISNUMBER('Cálculo Aforo'!AD32),('Cálculo Aforo'!AD32),"")</f>
        <v/>
      </c>
      <c r="J55" s="122" t="str">
        <f>+IF(ISNUMBER('Cálculo Aforo'!AE32),('Cálculo Aforo'!AE32),"")</f>
        <v/>
      </c>
    </row>
    <row r="56" spans="1:10" hidden="1" x14ac:dyDescent="0.25">
      <c r="A56">
        <v>3</v>
      </c>
      <c r="B56" s="120">
        <f>+IF(ISNUMBER('Cálculo Aforo'!W34),('Cálculo Aforo'!W34),"")</f>
        <v>0.98899999999999999</v>
      </c>
      <c r="C56" s="121">
        <f>+IF(ISNUMBER('Cálculo Aforo'!X34),('Cálculo Aforo'!X34),"")</f>
        <v>0.98499999999999999</v>
      </c>
      <c r="D56" s="122">
        <f>+IF(ISNUMBER('Cálculo Aforo'!Y34),('Cálculo Aforo'!Y34),"")</f>
        <v>0.99399999999999999</v>
      </c>
      <c r="E56" s="120">
        <f>+IF(ISNUMBER('Cálculo Aforo'!Z34),('Cálculo Aforo'!Z34),"")</f>
        <v>0.95399999999999996</v>
      </c>
      <c r="F56" s="121">
        <f>+IF(ISNUMBER('Cálculo Aforo'!AA34),('Cálculo Aforo'!AA34),"")</f>
        <v>0.94699999999999995</v>
      </c>
      <c r="G56" s="122">
        <f>+IF(ISNUMBER('Cálculo Aforo'!AB34),('Cálculo Aforo'!AB34),"")</f>
        <v>0.94299999999999995</v>
      </c>
      <c r="H56" s="120" t="str">
        <f>+IF(ISNUMBER('Cálculo Aforo'!AC34),('Cálculo Aforo'!AC34),"")</f>
        <v/>
      </c>
      <c r="I56" s="121" t="str">
        <f>+IF(ISNUMBER('Cálculo Aforo'!AD34),('Cálculo Aforo'!AD34),"")</f>
        <v/>
      </c>
      <c r="J56" s="122" t="str">
        <f>+IF(ISNUMBER('Cálculo Aforo'!AE34),('Cálculo Aforo'!AE34),"")</f>
        <v/>
      </c>
    </row>
    <row r="57" spans="1:10" hidden="1" x14ac:dyDescent="0.25">
      <c r="A57">
        <v>4</v>
      </c>
      <c r="B57" s="120">
        <f>+IF(ISNUMBER('Cálculo Aforo'!W36),('Cálculo Aforo'!W36),"")</f>
        <v>1.0009999999999999</v>
      </c>
      <c r="C57" s="121">
        <f>+IF(ISNUMBER('Cálculo Aforo'!X36),('Cálculo Aforo'!X36),"")</f>
        <v>0.999</v>
      </c>
      <c r="D57" s="122">
        <f>+IF(ISNUMBER('Cálculo Aforo'!Y36),('Cálculo Aforo'!Y36),"")</f>
        <v>1.014</v>
      </c>
      <c r="E57" s="120">
        <f>+IF(ISNUMBER('Cálculo Aforo'!Z36),('Cálculo Aforo'!Z36),"")</f>
        <v>0.98299999999999998</v>
      </c>
      <c r="F57" s="121">
        <f>+IF(ISNUMBER('Cálculo Aforo'!AA36),('Cálculo Aforo'!AA36),"")</f>
        <v>0.98799999999999999</v>
      </c>
      <c r="G57" s="122">
        <f>+IF(ISNUMBER('Cálculo Aforo'!AB36),('Cálculo Aforo'!AB36),"")</f>
        <v>0.99399999999999999</v>
      </c>
      <c r="H57" s="120" t="str">
        <f>+IF(ISNUMBER('Cálculo Aforo'!AC36),('Cálculo Aforo'!AC36),"")</f>
        <v/>
      </c>
      <c r="I57" s="121" t="str">
        <f>+IF(ISNUMBER('Cálculo Aforo'!AD36),('Cálculo Aforo'!AD36),"")</f>
        <v/>
      </c>
      <c r="J57" s="122" t="str">
        <f>+IF(ISNUMBER('Cálculo Aforo'!AE36),('Cálculo Aforo'!AE36),"")</f>
        <v/>
      </c>
    </row>
    <row r="58" spans="1:10" hidden="1" x14ac:dyDescent="0.25">
      <c r="A58">
        <v>5</v>
      </c>
      <c r="B58" s="120">
        <f>+IF(ISNUMBER('Cálculo Aforo'!W38),('Cálculo Aforo'!W38),"")</f>
        <v>1.024</v>
      </c>
      <c r="C58" s="121">
        <f>+IF(ISNUMBER('Cálculo Aforo'!X38),('Cálculo Aforo'!X38),"")</f>
        <v>1.024</v>
      </c>
      <c r="D58" s="122">
        <f>+IF(ISNUMBER('Cálculo Aforo'!Y38),('Cálculo Aforo'!Y38),"")</f>
        <v>1.0109999999999999</v>
      </c>
      <c r="E58" s="120">
        <f>+IF(ISNUMBER('Cálculo Aforo'!Z38),('Cálculo Aforo'!Z38),"")</f>
        <v>0.94699999999999995</v>
      </c>
      <c r="F58" s="121">
        <f>+IF(ISNUMBER('Cálculo Aforo'!AA38),('Cálculo Aforo'!AA38),"")</f>
        <v>0.95499999999999996</v>
      </c>
      <c r="G58" s="122">
        <f>+IF(ISNUMBER('Cálculo Aforo'!AB38),('Cálculo Aforo'!AB38),"")</f>
        <v>0.95899999999999996</v>
      </c>
      <c r="H58" s="120" t="str">
        <f>+IF(ISNUMBER('Cálculo Aforo'!AC38),('Cálculo Aforo'!AC38),"")</f>
        <v/>
      </c>
      <c r="I58" s="121" t="str">
        <f>+IF(ISNUMBER('Cálculo Aforo'!AD38),('Cálculo Aforo'!AD38),"")</f>
        <v/>
      </c>
      <c r="J58" s="122" t="str">
        <f>+IF(ISNUMBER('Cálculo Aforo'!AE38),('Cálculo Aforo'!AE38),"")</f>
        <v/>
      </c>
    </row>
    <row r="59" spans="1:10" hidden="1" x14ac:dyDescent="0.25">
      <c r="A59">
        <v>6</v>
      </c>
      <c r="B59" s="120">
        <f>+IF(ISNUMBER('Cálculo Aforo'!W40),('Cálculo Aforo'!W40),"")</f>
        <v>0.871</v>
      </c>
      <c r="C59" s="121">
        <f>+IF(ISNUMBER('Cálculo Aforo'!X40),('Cálculo Aforo'!X40),"")</f>
        <v>0.88</v>
      </c>
      <c r="D59" s="122">
        <f>+IF(ISNUMBER('Cálculo Aforo'!Y40),('Cálculo Aforo'!Y40),"")</f>
        <v>0.872</v>
      </c>
      <c r="E59" s="120">
        <f>+IF(ISNUMBER('Cálculo Aforo'!Z40),('Cálculo Aforo'!Z40),"")</f>
        <v>0.91</v>
      </c>
      <c r="F59" s="121">
        <f>+IF(ISNUMBER('Cálculo Aforo'!AA40),('Cálculo Aforo'!AA40),"")</f>
        <v>0.89700000000000002</v>
      </c>
      <c r="G59" s="122">
        <f>+IF(ISNUMBER('Cálculo Aforo'!AB40),('Cálculo Aforo'!AB40),"")</f>
        <v>0.9</v>
      </c>
      <c r="H59" s="120" t="str">
        <f>+IF(ISNUMBER('Cálculo Aforo'!AC40),('Cálculo Aforo'!AC40),"")</f>
        <v/>
      </c>
      <c r="I59" s="121" t="str">
        <f>+IF(ISNUMBER('Cálculo Aforo'!AD40),('Cálculo Aforo'!AD40),"")</f>
        <v/>
      </c>
      <c r="J59" s="122" t="str">
        <f>+IF(ISNUMBER('Cálculo Aforo'!AE40),('Cálculo Aforo'!AE40),"")</f>
        <v/>
      </c>
    </row>
    <row r="60" spans="1:10" hidden="1" x14ac:dyDescent="0.25">
      <c r="A60">
        <v>7</v>
      </c>
      <c r="B60" s="120" t="str">
        <f>+IF(ISNUMBER('Cálculo Aforo'!W42),('Cálculo Aforo'!W42),"")</f>
        <v/>
      </c>
      <c r="C60" s="121" t="str">
        <f>+IF(ISNUMBER('Cálculo Aforo'!X42),('Cálculo Aforo'!X42),"")</f>
        <v/>
      </c>
      <c r="D60" s="122" t="str">
        <f>+IF(ISNUMBER('Cálculo Aforo'!Y42),('Cálculo Aforo'!Y42),"")</f>
        <v/>
      </c>
      <c r="E60" s="120" t="str">
        <f>+IF(ISNUMBER('Cálculo Aforo'!Z42),('Cálculo Aforo'!Z42),"")</f>
        <v/>
      </c>
      <c r="F60" s="121" t="str">
        <f>+IF(ISNUMBER('Cálculo Aforo'!AA42),('Cálculo Aforo'!AA42),"")</f>
        <v/>
      </c>
      <c r="G60" s="122" t="str">
        <f>+IF(ISNUMBER('Cálculo Aforo'!AB42),('Cálculo Aforo'!AB42),"")</f>
        <v/>
      </c>
      <c r="H60" s="120" t="str">
        <f>+IF(ISNUMBER('Cálculo Aforo'!AC42),('Cálculo Aforo'!AC42),"")</f>
        <v/>
      </c>
      <c r="I60" s="121" t="str">
        <f>+IF(ISNUMBER('Cálculo Aforo'!AD42),('Cálculo Aforo'!AD42),"")</f>
        <v/>
      </c>
      <c r="J60" s="122" t="str">
        <f>+IF(ISNUMBER('Cálculo Aforo'!AE42),('Cálculo Aforo'!AE42),"")</f>
        <v/>
      </c>
    </row>
    <row r="61" spans="1:10" hidden="1" x14ac:dyDescent="0.25">
      <c r="A61">
        <v>8</v>
      </c>
      <c r="B61" s="120" t="str">
        <f>+IF(ISNUMBER('Cálculo Aforo'!W44),('Cálculo Aforo'!W44),"")</f>
        <v/>
      </c>
      <c r="C61" s="121" t="str">
        <f>+IF(ISNUMBER('Cálculo Aforo'!X44),('Cálculo Aforo'!X44),"")</f>
        <v/>
      </c>
      <c r="D61" s="122" t="str">
        <f>+IF(ISNUMBER('Cálculo Aforo'!Y44),('Cálculo Aforo'!Y44),"")</f>
        <v/>
      </c>
      <c r="E61" s="120" t="str">
        <f>+IF(ISNUMBER('Cálculo Aforo'!Z44),('Cálculo Aforo'!Z44),"")</f>
        <v/>
      </c>
      <c r="F61" s="121" t="str">
        <f>+IF(ISNUMBER('Cálculo Aforo'!AA44),('Cálculo Aforo'!AA44),"")</f>
        <v/>
      </c>
      <c r="G61" s="122" t="str">
        <f>+IF(ISNUMBER('Cálculo Aforo'!AB44),('Cálculo Aforo'!AB44),"")</f>
        <v/>
      </c>
      <c r="H61" s="120" t="str">
        <f>+IF(ISNUMBER('Cálculo Aforo'!AC44),('Cálculo Aforo'!AC44),"")</f>
        <v/>
      </c>
      <c r="I61" s="121" t="str">
        <f>+IF(ISNUMBER('Cálculo Aforo'!AD44),('Cálculo Aforo'!AD44),"")</f>
        <v/>
      </c>
      <c r="J61" s="122" t="str">
        <f>+IF(ISNUMBER('Cálculo Aforo'!AE44),('Cálculo Aforo'!AE44),"")</f>
        <v/>
      </c>
    </row>
    <row r="62" spans="1:10" hidden="1" x14ac:dyDescent="0.25">
      <c r="A62">
        <v>9</v>
      </c>
      <c r="B62" s="120" t="str">
        <f>+IF(ISNUMBER('Cálculo Aforo'!W46),('Cálculo Aforo'!W46),"")</f>
        <v/>
      </c>
      <c r="C62" s="121" t="str">
        <f>+IF(ISNUMBER('Cálculo Aforo'!X46),('Cálculo Aforo'!X46),"")</f>
        <v/>
      </c>
      <c r="D62" s="122" t="str">
        <f>+IF(ISNUMBER('Cálculo Aforo'!Y46),('Cálculo Aforo'!Y46),"")</f>
        <v/>
      </c>
      <c r="E62" s="120" t="str">
        <f>+IF(ISNUMBER('Cálculo Aforo'!Z46),('Cálculo Aforo'!Z46),"")</f>
        <v/>
      </c>
      <c r="F62" s="121" t="str">
        <f>+IF(ISNUMBER('Cálculo Aforo'!AA46),('Cálculo Aforo'!AA46),"")</f>
        <v/>
      </c>
      <c r="G62" s="122" t="str">
        <f>+IF(ISNUMBER('Cálculo Aforo'!AB46),('Cálculo Aforo'!AB46),"")</f>
        <v/>
      </c>
      <c r="H62" s="120" t="str">
        <f>+IF(ISNUMBER('Cálculo Aforo'!AC46),('Cálculo Aforo'!AC46),"")</f>
        <v/>
      </c>
      <c r="I62" s="121" t="str">
        <f>+IF(ISNUMBER('Cálculo Aforo'!AD46),('Cálculo Aforo'!AD46),"")</f>
        <v/>
      </c>
      <c r="J62" s="122" t="str">
        <f>+IF(ISNUMBER('Cálculo Aforo'!AE46),('Cálculo Aforo'!AE46),"")</f>
        <v/>
      </c>
    </row>
    <row r="63" spans="1:10" hidden="1" x14ac:dyDescent="0.25">
      <c r="A63">
        <v>10</v>
      </c>
      <c r="B63" s="120" t="str">
        <f>+IF(ISNUMBER('Cálculo Aforo'!W48),('Cálculo Aforo'!W48),"")</f>
        <v/>
      </c>
      <c r="C63" s="121" t="str">
        <f>+IF(ISNUMBER('Cálculo Aforo'!X48),('Cálculo Aforo'!X48),"")</f>
        <v/>
      </c>
      <c r="D63" s="122" t="str">
        <f>+IF(ISNUMBER('Cálculo Aforo'!Y48),('Cálculo Aforo'!Y48),"")</f>
        <v/>
      </c>
      <c r="E63" s="120" t="str">
        <f>+IF(ISNUMBER('Cálculo Aforo'!Z48),('Cálculo Aforo'!Z48),"")</f>
        <v/>
      </c>
      <c r="F63" s="121" t="str">
        <f>+IF(ISNUMBER('Cálculo Aforo'!AA48),('Cálculo Aforo'!AA48),"")</f>
        <v/>
      </c>
      <c r="G63" s="122" t="str">
        <f>+IF(ISNUMBER('Cálculo Aforo'!AB48),('Cálculo Aforo'!AB48),"")</f>
        <v/>
      </c>
      <c r="H63" s="120" t="str">
        <f>+IF(ISNUMBER('Cálculo Aforo'!AC48),('Cálculo Aforo'!AC48),"")</f>
        <v/>
      </c>
      <c r="I63" s="121" t="str">
        <f>+IF(ISNUMBER('Cálculo Aforo'!AD48),('Cálculo Aforo'!AD48),"")</f>
        <v/>
      </c>
      <c r="J63" s="122" t="str">
        <f>+IF(ISNUMBER('Cálculo Aforo'!AE48),('Cálculo Aforo'!AE48),"")</f>
        <v/>
      </c>
    </row>
    <row r="64" spans="1:10" hidden="1" x14ac:dyDescent="0.25">
      <c r="A64">
        <v>11</v>
      </c>
      <c r="B64" s="120" t="str">
        <f>+IF(ISNUMBER('Cálculo Aforo'!W50),('Cálculo Aforo'!W50),"")</f>
        <v/>
      </c>
      <c r="C64" s="121" t="str">
        <f>+IF(ISNUMBER('Cálculo Aforo'!X50),('Cálculo Aforo'!X50),"")</f>
        <v/>
      </c>
      <c r="D64" s="122" t="str">
        <f>+IF(ISNUMBER('Cálculo Aforo'!Y50),('Cálculo Aforo'!Y50),"")</f>
        <v/>
      </c>
      <c r="E64" s="120" t="str">
        <f>+IF(ISNUMBER('Cálculo Aforo'!Z50),('Cálculo Aforo'!Z50),"")</f>
        <v/>
      </c>
      <c r="F64" s="121" t="str">
        <f>+IF(ISNUMBER('Cálculo Aforo'!AA50),('Cálculo Aforo'!AA50),"")</f>
        <v/>
      </c>
      <c r="G64" s="122" t="str">
        <f>+IF(ISNUMBER('Cálculo Aforo'!AB50),('Cálculo Aforo'!AB50),"")</f>
        <v/>
      </c>
      <c r="H64" s="120" t="str">
        <f>+IF(ISNUMBER('Cálculo Aforo'!AC50),('Cálculo Aforo'!AC50),"")</f>
        <v/>
      </c>
      <c r="I64" s="121" t="str">
        <f>+IF(ISNUMBER('Cálculo Aforo'!AD50),('Cálculo Aforo'!AD50),"")</f>
        <v/>
      </c>
      <c r="J64" s="122" t="str">
        <f>+IF(ISNUMBER('Cálculo Aforo'!AE50),('Cálculo Aforo'!AE50),"")</f>
        <v/>
      </c>
    </row>
    <row r="65" spans="1:10" hidden="1" x14ac:dyDescent="0.25">
      <c r="A65">
        <v>12</v>
      </c>
      <c r="B65" s="120" t="str">
        <f>+IF(ISNUMBER('Cálculo Aforo'!W52),('Cálculo Aforo'!W52),"")</f>
        <v/>
      </c>
      <c r="C65" s="121" t="str">
        <f>+IF(ISNUMBER('Cálculo Aforo'!X52),('Cálculo Aforo'!X52),"")</f>
        <v/>
      </c>
      <c r="D65" s="122" t="str">
        <f>+IF(ISNUMBER('Cálculo Aforo'!Y52),('Cálculo Aforo'!Y52),"")</f>
        <v/>
      </c>
      <c r="E65" s="120" t="str">
        <f>+IF(ISNUMBER('Cálculo Aforo'!Z52),('Cálculo Aforo'!Z52),"")</f>
        <v/>
      </c>
      <c r="F65" s="121" t="str">
        <f>+IF(ISNUMBER('Cálculo Aforo'!AA52),('Cálculo Aforo'!AA52),"")</f>
        <v/>
      </c>
      <c r="G65" s="122" t="str">
        <f>+IF(ISNUMBER('Cálculo Aforo'!AB52),('Cálculo Aforo'!AB52),"")</f>
        <v/>
      </c>
      <c r="H65" s="120" t="str">
        <f>+IF(ISNUMBER('Cálculo Aforo'!AC52),('Cálculo Aforo'!AC52),"")</f>
        <v/>
      </c>
      <c r="I65" s="121" t="str">
        <f>+IF(ISNUMBER('Cálculo Aforo'!AD52),('Cálculo Aforo'!AD52),"")</f>
        <v/>
      </c>
      <c r="J65" s="122" t="str">
        <f>+IF(ISNUMBER('Cálculo Aforo'!AE52),('Cálculo Aforo'!AE52),"")</f>
        <v/>
      </c>
    </row>
    <row r="66" spans="1:10" hidden="1" x14ac:dyDescent="0.25">
      <c r="A66">
        <v>13</v>
      </c>
      <c r="B66" s="120" t="str">
        <f>+IF(ISNUMBER('Cálculo Aforo'!W54),('Cálculo Aforo'!W54),"")</f>
        <v/>
      </c>
      <c r="C66" s="121" t="str">
        <f>+IF(ISNUMBER('Cálculo Aforo'!X54),('Cálculo Aforo'!X54),"")</f>
        <v/>
      </c>
      <c r="D66" s="122" t="str">
        <f>+IF(ISNUMBER('Cálculo Aforo'!Y54),('Cálculo Aforo'!Y54),"")</f>
        <v/>
      </c>
      <c r="E66" s="120" t="str">
        <f>+IF(ISNUMBER('Cálculo Aforo'!Z54),('Cálculo Aforo'!Z54),"")</f>
        <v/>
      </c>
      <c r="F66" s="121" t="str">
        <f>+IF(ISNUMBER('Cálculo Aforo'!AA54),('Cálculo Aforo'!AA54),"")</f>
        <v/>
      </c>
      <c r="G66" s="122" t="str">
        <f>+IF(ISNUMBER('Cálculo Aforo'!AB54),('Cálculo Aforo'!AB54),"")</f>
        <v/>
      </c>
      <c r="H66" s="120" t="str">
        <f>+IF(ISNUMBER('Cálculo Aforo'!AC54),('Cálculo Aforo'!AC54),"")</f>
        <v/>
      </c>
      <c r="I66" s="121" t="str">
        <f>+IF(ISNUMBER('Cálculo Aforo'!AD54),('Cálculo Aforo'!AD54),"")</f>
        <v/>
      </c>
      <c r="J66" s="122" t="str">
        <f>+IF(ISNUMBER('Cálculo Aforo'!AE54),('Cálculo Aforo'!AE54),"")</f>
        <v/>
      </c>
    </row>
    <row r="67" spans="1:10" hidden="1" x14ac:dyDescent="0.25">
      <c r="A67">
        <v>14</v>
      </c>
      <c r="B67" s="120" t="str">
        <f>+IF(ISNUMBER('Cálculo Aforo'!W56),('Cálculo Aforo'!W56),"")</f>
        <v/>
      </c>
      <c r="C67" s="121" t="str">
        <f>+IF(ISNUMBER('Cálculo Aforo'!X56),('Cálculo Aforo'!X56),"")</f>
        <v/>
      </c>
      <c r="D67" s="122" t="str">
        <f>+IF(ISNUMBER('Cálculo Aforo'!Y56),('Cálculo Aforo'!Y56),"")</f>
        <v/>
      </c>
      <c r="E67" s="120" t="str">
        <f>+IF(ISNUMBER('Cálculo Aforo'!Z56),('Cálculo Aforo'!Z56),"")</f>
        <v/>
      </c>
      <c r="F67" s="121" t="str">
        <f>+IF(ISNUMBER('Cálculo Aforo'!AA56),('Cálculo Aforo'!AA56),"")</f>
        <v/>
      </c>
      <c r="G67" s="122" t="str">
        <f>+IF(ISNUMBER('Cálculo Aforo'!AB56),('Cálculo Aforo'!AB56),"")</f>
        <v/>
      </c>
      <c r="H67" s="120" t="str">
        <f>+IF(ISNUMBER('Cálculo Aforo'!AC56),('Cálculo Aforo'!AC56),"")</f>
        <v/>
      </c>
      <c r="I67" s="121" t="str">
        <f>+IF(ISNUMBER('Cálculo Aforo'!AD56),('Cálculo Aforo'!AD56),"")</f>
        <v/>
      </c>
      <c r="J67" s="122" t="str">
        <f>+IF(ISNUMBER('Cálculo Aforo'!AE56),('Cálculo Aforo'!AE56),"")</f>
        <v/>
      </c>
    </row>
    <row r="68" spans="1:10" hidden="1" x14ac:dyDescent="0.25">
      <c r="A68">
        <v>15</v>
      </c>
      <c r="B68" s="120" t="str">
        <f>+IF(ISNUMBER('Cálculo Aforo'!W58),('Cálculo Aforo'!W58),"")</f>
        <v/>
      </c>
      <c r="C68" s="121" t="str">
        <f>+IF(ISNUMBER('Cálculo Aforo'!X58),('Cálculo Aforo'!X58),"")</f>
        <v/>
      </c>
      <c r="D68" s="122" t="str">
        <f>+IF(ISNUMBER('Cálculo Aforo'!Y58),('Cálculo Aforo'!Y58),"")</f>
        <v/>
      </c>
      <c r="E68" s="120" t="str">
        <f>+IF(ISNUMBER('Cálculo Aforo'!Z58),('Cálculo Aforo'!Z58),"")</f>
        <v/>
      </c>
      <c r="F68" s="121" t="str">
        <f>+IF(ISNUMBER('Cálculo Aforo'!AA58),('Cálculo Aforo'!AA58),"")</f>
        <v/>
      </c>
      <c r="G68" s="122" t="str">
        <f>+IF(ISNUMBER('Cálculo Aforo'!AB58),('Cálculo Aforo'!AB58),"")</f>
        <v/>
      </c>
      <c r="H68" s="120" t="str">
        <f>+IF(ISNUMBER('Cálculo Aforo'!AC58),('Cálculo Aforo'!AC58),"")</f>
        <v/>
      </c>
      <c r="I68" s="121" t="str">
        <f>+IF(ISNUMBER('Cálculo Aforo'!AD58),('Cálculo Aforo'!AD58),"")</f>
        <v/>
      </c>
      <c r="J68" s="122" t="str">
        <f>+IF(ISNUMBER('Cálculo Aforo'!AE58),('Cálculo Aforo'!AE58),"")</f>
        <v/>
      </c>
    </row>
    <row r="69" spans="1:10" hidden="1" x14ac:dyDescent="0.25">
      <c r="A69">
        <v>16</v>
      </c>
      <c r="B69" s="123" t="str">
        <f>+IF(ISNUMBER('Cálculo Aforo'!W60),('Cálculo Aforo'!W60),"")</f>
        <v/>
      </c>
      <c r="C69" s="124" t="str">
        <f>+IF(ISNUMBER('Cálculo Aforo'!X60),('Cálculo Aforo'!X60),"")</f>
        <v/>
      </c>
      <c r="D69" s="125" t="str">
        <f>+IF(ISNUMBER('Cálculo Aforo'!Y60),('Cálculo Aforo'!Y60),"")</f>
        <v/>
      </c>
      <c r="E69" s="123" t="str">
        <f>+IF(ISNUMBER('Cálculo Aforo'!Z60),('Cálculo Aforo'!Z60),"")</f>
        <v/>
      </c>
      <c r="F69" s="124" t="str">
        <f>+IF(ISNUMBER('Cálculo Aforo'!AA60),('Cálculo Aforo'!AA60),"")</f>
        <v/>
      </c>
      <c r="G69" s="125" t="str">
        <f>+IF(ISNUMBER('Cálculo Aforo'!AB60),('Cálculo Aforo'!AB60),"")</f>
        <v/>
      </c>
      <c r="H69" s="123" t="str">
        <f>+IF(ISNUMBER('Cálculo Aforo'!AC60),('Cálculo Aforo'!AC60),"")</f>
        <v/>
      </c>
      <c r="I69" s="124" t="str">
        <f>+IF(ISNUMBER('Cálculo Aforo'!AD60),('Cálculo Aforo'!AD60),"")</f>
        <v/>
      </c>
      <c r="J69" s="125" t="str">
        <f>+IF(ISNUMBER('Cálculo Aforo'!AE60),('Cálculo Aforo'!AE60),"")</f>
        <v/>
      </c>
    </row>
    <row r="70" spans="1:10" hidden="1" x14ac:dyDescent="0.25">
      <c r="B70" s="116" t="str">
        <f>+IF(ISNUMBER('Cálculo Aforo'!W182),('Cálculo Aforo'!W182),"")</f>
        <v/>
      </c>
      <c r="C70" s="116" t="str">
        <f>+IF(ISNUMBER('Cálculo Aforo'!X182),('Cálculo Aforo'!X182),"")</f>
        <v/>
      </c>
      <c r="D70" s="116" t="str">
        <f>+IF(ISNUMBER('Cálculo Aforo'!Y182),('Cálculo Aforo'!Y182),"")</f>
        <v/>
      </c>
      <c r="E70" s="116" t="str">
        <f>+IF(ISNUMBER('Cálculo Aforo'!Z182),('Cálculo Aforo'!Z182),"")</f>
        <v/>
      </c>
      <c r="F70" s="116" t="str">
        <f>+IF(ISNUMBER('Cálculo Aforo'!AA182),('Cálculo Aforo'!AA182),"")</f>
        <v/>
      </c>
      <c r="G70" s="116" t="str">
        <f>+IF(ISNUMBER('Cálculo Aforo'!AB182),('Cálculo Aforo'!AB182),"")</f>
        <v/>
      </c>
      <c r="H70" s="116" t="str">
        <f>+IF(ISNUMBER('Cálculo Aforo'!AC182),('Cálculo Aforo'!AC182),"")</f>
        <v/>
      </c>
      <c r="I70" s="116" t="str">
        <f>+IF(ISNUMBER('Cálculo Aforo'!AD182),('Cálculo Aforo'!AD182),"")</f>
        <v/>
      </c>
      <c r="J70" s="116" t="str">
        <f>+IF(ISNUMBER('Cálculo Aforo'!AE182),('Cálculo Aforo'!AE182),"")</f>
        <v/>
      </c>
    </row>
    <row r="71" spans="1:10" hidden="1" x14ac:dyDescent="0.25">
      <c r="B71" s="116" t="str">
        <f>+IF(ISNUMBER('Cálculo Aforo'!W183),('Cálculo Aforo'!W183),"")</f>
        <v/>
      </c>
      <c r="C71" s="116" t="str">
        <f>+IF(ISNUMBER('Cálculo Aforo'!X183),('Cálculo Aforo'!X183),"")</f>
        <v/>
      </c>
      <c r="D71" s="116" t="str">
        <f>+IF(ISNUMBER('Cálculo Aforo'!Y183),('Cálculo Aforo'!Y183),"")</f>
        <v/>
      </c>
      <c r="E71" s="116" t="str">
        <f>+IF(ISNUMBER('Cálculo Aforo'!Z183),('Cálculo Aforo'!Z183),"")</f>
        <v/>
      </c>
      <c r="F71" s="116" t="str">
        <f>+IF(ISNUMBER('Cálculo Aforo'!AA183),('Cálculo Aforo'!AA183),"")</f>
        <v/>
      </c>
      <c r="G71" s="116" t="str">
        <f>+IF(ISNUMBER('Cálculo Aforo'!AB183),('Cálculo Aforo'!AB183),"")</f>
        <v/>
      </c>
      <c r="H71" s="116" t="str">
        <f>+IF(ISNUMBER('Cálculo Aforo'!AC183),('Cálculo Aforo'!AC183),"")</f>
        <v/>
      </c>
      <c r="I71" s="116" t="str">
        <f>+IF(ISNUMBER('Cálculo Aforo'!AD183),('Cálculo Aforo'!AD183),"")</f>
        <v/>
      </c>
      <c r="J71" s="116" t="str">
        <f>+IF(ISNUMBER('Cálculo Aforo'!AE183),('Cálculo Aforo'!AE183),"")</f>
        <v/>
      </c>
    </row>
    <row r="72" spans="1:10" hidden="1" x14ac:dyDescent="0.25">
      <c r="B72" s="116" t="str">
        <f>+IF(ISNUMBER('Cálculo Aforo'!W184),('Cálculo Aforo'!W184),"")</f>
        <v/>
      </c>
      <c r="C72" s="116" t="str">
        <f>+IF(ISNUMBER('Cálculo Aforo'!X184),('Cálculo Aforo'!X184),"")</f>
        <v/>
      </c>
      <c r="D72" s="116" t="str">
        <f>+IF(ISNUMBER('Cálculo Aforo'!Y184),('Cálculo Aforo'!Y184),"")</f>
        <v/>
      </c>
      <c r="E72" s="116" t="str">
        <f>+IF(ISNUMBER('Cálculo Aforo'!Z184),('Cálculo Aforo'!Z184),"")</f>
        <v/>
      </c>
      <c r="F72" s="116" t="str">
        <f>+IF(ISNUMBER('Cálculo Aforo'!AA184),('Cálculo Aforo'!AA184),"")</f>
        <v/>
      </c>
      <c r="G72" s="116" t="str">
        <f>+IF(ISNUMBER('Cálculo Aforo'!AB184),('Cálculo Aforo'!AB184),"")</f>
        <v/>
      </c>
      <c r="H72" s="116" t="str">
        <f>+IF(ISNUMBER('Cálculo Aforo'!AC184),('Cálculo Aforo'!AC184),"")</f>
        <v/>
      </c>
      <c r="I72" s="116" t="str">
        <f>+IF(ISNUMBER('Cálculo Aforo'!AD184),('Cálculo Aforo'!AD184),"")</f>
        <v/>
      </c>
      <c r="J72" s="116" t="str">
        <f>+IF(ISNUMBER('Cálculo Aforo'!AE184),('Cálculo Aforo'!AE184),"")</f>
        <v/>
      </c>
    </row>
    <row r="73" spans="1:10" hidden="1" x14ac:dyDescent="0.25">
      <c r="B73" s="116" t="str">
        <f>+IF(ISNUMBER('Cálculo Aforo'!W185),('Cálculo Aforo'!W185),"")</f>
        <v/>
      </c>
      <c r="C73" s="116" t="str">
        <f>+IF(ISNUMBER('Cálculo Aforo'!X185),('Cálculo Aforo'!X185),"")</f>
        <v/>
      </c>
      <c r="D73" s="116" t="str">
        <f>+IF(ISNUMBER('Cálculo Aforo'!Y185),('Cálculo Aforo'!Y185),"")</f>
        <v/>
      </c>
      <c r="E73" s="116" t="str">
        <f>+IF(ISNUMBER('Cálculo Aforo'!Z185),('Cálculo Aforo'!Z185),"")</f>
        <v/>
      </c>
      <c r="F73" s="116" t="str">
        <f>+IF(ISNUMBER('Cálculo Aforo'!AA185),('Cálculo Aforo'!AA185),"")</f>
        <v/>
      </c>
      <c r="G73" s="116" t="str">
        <f>+IF(ISNUMBER('Cálculo Aforo'!AB185),('Cálculo Aforo'!AB185),"")</f>
        <v/>
      </c>
      <c r="H73" s="116" t="str">
        <f>+IF(ISNUMBER('Cálculo Aforo'!AC185),('Cálculo Aforo'!AC185),"")</f>
        <v/>
      </c>
      <c r="I73" s="116" t="str">
        <f>+IF(ISNUMBER('Cálculo Aforo'!AD185),('Cálculo Aforo'!AD185),"")</f>
        <v/>
      </c>
      <c r="J73" s="116" t="str">
        <f>+IF(ISNUMBER('Cálculo Aforo'!AE185),('Cálculo Aforo'!AE185),"")</f>
        <v/>
      </c>
    </row>
    <row r="74" spans="1:10" hidden="1" x14ac:dyDescent="0.25">
      <c r="B74" s="116" t="str">
        <f>+IF(ISNUMBER('Cálculo Aforo'!W186),('Cálculo Aforo'!W186),"")</f>
        <v/>
      </c>
      <c r="C74" s="116" t="str">
        <f>+IF(ISNUMBER('Cálculo Aforo'!X186),('Cálculo Aforo'!X186),"")</f>
        <v/>
      </c>
      <c r="D74" s="116" t="str">
        <f>+IF(ISNUMBER('Cálculo Aforo'!Y186),('Cálculo Aforo'!Y186),"")</f>
        <v/>
      </c>
      <c r="E74" s="116" t="str">
        <f>+IF(ISNUMBER('Cálculo Aforo'!Z186),('Cálculo Aforo'!Z186),"")</f>
        <v/>
      </c>
      <c r="F74" s="116" t="str">
        <f>+IF(ISNUMBER('Cálculo Aforo'!AA186),('Cálculo Aforo'!AA186),"")</f>
        <v/>
      </c>
      <c r="G74" s="116" t="str">
        <f>+IF(ISNUMBER('Cálculo Aforo'!AB186),('Cálculo Aforo'!AB186),"")</f>
        <v/>
      </c>
      <c r="H74" s="116" t="str">
        <f>+IF(ISNUMBER('Cálculo Aforo'!AC186),('Cálculo Aforo'!AC186),"")</f>
        <v/>
      </c>
      <c r="I74" s="116" t="str">
        <f>+IF(ISNUMBER('Cálculo Aforo'!AD186),('Cálculo Aforo'!AD186),"")</f>
        <v/>
      </c>
      <c r="J74" s="116" t="str">
        <f>+IF(ISNUMBER('Cálculo Aforo'!AE186),('Cálculo Aforo'!AE186),"")</f>
        <v/>
      </c>
    </row>
    <row r="75" spans="1:10" x14ac:dyDescent="0.25">
      <c r="B75" s="116" t="str">
        <f>+IF(ISNUMBER('Cálculo Aforo'!W187),('Cálculo Aforo'!W187),"")</f>
        <v/>
      </c>
      <c r="C75" s="116" t="str">
        <f>+IF(ISNUMBER('Cálculo Aforo'!X187),('Cálculo Aforo'!X187),"")</f>
        <v/>
      </c>
      <c r="D75" s="116" t="str">
        <f>+IF(ISNUMBER('Cálculo Aforo'!Y187),('Cálculo Aforo'!Y187),"")</f>
        <v/>
      </c>
      <c r="E75" s="116" t="str">
        <f>+IF(ISNUMBER('Cálculo Aforo'!Z187),('Cálculo Aforo'!Z187),"")</f>
        <v/>
      </c>
      <c r="F75" s="116" t="str">
        <f>+IF(ISNUMBER('Cálculo Aforo'!AA187),('Cálculo Aforo'!AA187),"")</f>
        <v/>
      </c>
      <c r="G75" s="116" t="str">
        <f>+IF(ISNUMBER('Cálculo Aforo'!AB187),('Cálculo Aforo'!AB187),"")</f>
        <v/>
      </c>
      <c r="H75" s="116" t="str">
        <f>+IF(ISNUMBER('Cálculo Aforo'!AC187),('Cálculo Aforo'!AC187),"")</f>
        <v/>
      </c>
      <c r="I75" s="116" t="str">
        <f>+IF(ISNUMBER('Cálculo Aforo'!AD187),('Cálculo Aforo'!AD187),"")</f>
        <v/>
      </c>
      <c r="J75" s="116" t="str">
        <f>+IF(ISNUMBER('Cálculo Aforo'!AE187),('Cálculo Aforo'!AE187),"")</f>
        <v/>
      </c>
    </row>
    <row r="76" spans="1:10" x14ac:dyDescent="0.25">
      <c r="B76" s="116" t="str">
        <f>+IF(ISNUMBER('Cálculo Aforo'!W188),('Cálculo Aforo'!W188),"")</f>
        <v/>
      </c>
      <c r="C76" s="116" t="str">
        <f>+IF(ISNUMBER('Cálculo Aforo'!X188),('Cálculo Aforo'!X188),"")</f>
        <v/>
      </c>
      <c r="D76" s="116" t="str">
        <f>+IF(ISNUMBER('Cálculo Aforo'!Y188),('Cálculo Aforo'!Y188),"")</f>
        <v/>
      </c>
      <c r="E76" s="116" t="str">
        <f>+IF(ISNUMBER('Cálculo Aforo'!Z188),('Cálculo Aforo'!Z188),"")</f>
        <v/>
      </c>
      <c r="F76" s="116" t="str">
        <f>+IF(ISNUMBER('Cálculo Aforo'!AA188),('Cálculo Aforo'!AA188),"")</f>
        <v/>
      </c>
      <c r="G76" s="116" t="str">
        <f>+IF(ISNUMBER('Cálculo Aforo'!AB188),('Cálculo Aforo'!AB188),"")</f>
        <v/>
      </c>
      <c r="H76" s="116" t="str">
        <f>+IF(ISNUMBER('Cálculo Aforo'!AC188),('Cálculo Aforo'!AC188),"")</f>
        <v/>
      </c>
      <c r="I76" s="116" t="str">
        <f>+IF(ISNUMBER('Cálculo Aforo'!AD188),('Cálculo Aforo'!AD188),"")</f>
        <v/>
      </c>
      <c r="J76" s="116" t="str">
        <f>+IF(ISNUMBER('Cálculo Aforo'!AE188),('Cálculo Aforo'!AE188),"")</f>
        <v/>
      </c>
    </row>
    <row r="77" spans="1:10" x14ac:dyDescent="0.25">
      <c r="B77" s="116" t="str">
        <f>+IF(ISNUMBER('Cálculo Aforo'!W189),('Cálculo Aforo'!W189),"")</f>
        <v/>
      </c>
      <c r="C77" s="116" t="str">
        <f>+IF(ISNUMBER('Cálculo Aforo'!X189),('Cálculo Aforo'!X189),"")</f>
        <v/>
      </c>
      <c r="D77" s="116" t="str">
        <f>+IF(ISNUMBER('Cálculo Aforo'!Y189),('Cálculo Aforo'!Y189),"")</f>
        <v/>
      </c>
      <c r="E77" s="116" t="str">
        <f>+IF(ISNUMBER('Cálculo Aforo'!Z189),('Cálculo Aforo'!Z189),"")</f>
        <v/>
      </c>
      <c r="F77" s="116" t="str">
        <f>+IF(ISNUMBER('Cálculo Aforo'!AA189),('Cálculo Aforo'!AA189),"")</f>
        <v/>
      </c>
      <c r="G77" s="116" t="str">
        <f>+IF(ISNUMBER('Cálculo Aforo'!AB189),('Cálculo Aforo'!AB189),"")</f>
        <v/>
      </c>
      <c r="H77" s="116" t="str">
        <f>+IF(ISNUMBER('Cálculo Aforo'!AC189),('Cálculo Aforo'!AC189),"")</f>
        <v/>
      </c>
      <c r="I77" s="116" t="str">
        <f>+IF(ISNUMBER('Cálculo Aforo'!AD189),('Cálculo Aforo'!AD189),"")</f>
        <v/>
      </c>
      <c r="J77" s="116" t="str">
        <f>+IF(ISNUMBER('Cálculo Aforo'!AE189),('Cálculo Aforo'!AE189),"")</f>
        <v/>
      </c>
    </row>
    <row r="78" spans="1:10" x14ac:dyDescent="0.25">
      <c r="B78" s="116" t="str">
        <f>+IF(ISNUMBER('Cálculo Aforo'!W190),('Cálculo Aforo'!W190),"")</f>
        <v/>
      </c>
      <c r="C78" s="116" t="str">
        <f>+IF(ISNUMBER('Cálculo Aforo'!X190),('Cálculo Aforo'!X190),"")</f>
        <v/>
      </c>
      <c r="D78" s="116" t="str">
        <f>+IF(ISNUMBER('Cálculo Aforo'!Y190),('Cálculo Aforo'!Y190),"")</f>
        <v/>
      </c>
      <c r="E78" s="116" t="str">
        <f>+IF(ISNUMBER('Cálculo Aforo'!Z190),('Cálculo Aforo'!Z190),"")</f>
        <v/>
      </c>
      <c r="F78" s="116" t="str">
        <f>+IF(ISNUMBER('Cálculo Aforo'!AA190),('Cálculo Aforo'!AA190),"")</f>
        <v/>
      </c>
      <c r="G78" s="116" t="str">
        <f>+IF(ISNUMBER('Cálculo Aforo'!AB190),('Cálculo Aforo'!AB190),"")</f>
        <v/>
      </c>
      <c r="H78" s="116" t="str">
        <f>+IF(ISNUMBER('Cálculo Aforo'!AC190),('Cálculo Aforo'!AC190),"")</f>
        <v/>
      </c>
      <c r="I78" s="116" t="str">
        <f>+IF(ISNUMBER('Cálculo Aforo'!AD190),('Cálculo Aforo'!AD190),"")</f>
        <v/>
      </c>
      <c r="J78" s="116" t="str">
        <f>+IF(ISNUMBER('Cálculo Aforo'!AE190),('Cálculo Aforo'!AE190),"")</f>
        <v/>
      </c>
    </row>
    <row r="79" spans="1:10" x14ac:dyDescent="0.25">
      <c r="B79" s="116" t="str">
        <f>+IF(ISNUMBER('Cálculo Aforo'!W191),('Cálculo Aforo'!W191),"")</f>
        <v/>
      </c>
      <c r="C79" s="116" t="str">
        <f>+IF(ISNUMBER('Cálculo Aforo'!X191),('Cálculo Aforo'!X191),"")</f>
        <v/>
      </c>
      <c r="D79" s="116" t="str">
        <f>+IF(ISNUMBER('Cálculo Aforo'!Y191),('Cálculo Aforo'!Y191),"")</f>
        <v/>
      </c>
      <c r="E79" s="116" t="str">
        <f>+IF(ISNUMBER('Cálculo Aforo'!Z191),('Cálculo Aforo'!Z191),"")</f>
        <v/>
      </c>
      <c r="F79" s="116" t="str">
        <f>+IF(ISNUMBER('Cálculo Aforo'!AA191),('Cálculo Aforo'!AA191),"")</f>
        <v/>
      </c>
      <c r="G79" s="116" t="str">
        <f>+IF(ISNUMBER('Cálculo Aforo'!AB191),('Cálculo Aforo'!AB191),"")</f>
        <v/>
      </c>
      <c r="H79" s="116" t="str">
        <f>+IF(ISNUMBER('Cálculo Aforo'!AC191),('Cálculo Aforo'!AC191),"")</f>
        <v/>
      </c>
      <c r="I79" s="116" t="str">
        <f>+IF(ISNUMBER('Cálculo Aforo'!AD191),('Cálculo Aforo'!AD191),"")</f>
        <v/>
      </c>
      <c r="J79" s="116" t="str">
        <f>+IF(ISNUMBER('Cálculo Aforo'!AE191),('Cálculo Aforo'!AE191),"")</f>
        <v/>
      </c>
    </row>
    <row r="80" spans="1:10" x14ac:dyDescent="0.25">
      <c r="B80" s="116" t="str">
        <f>+IF(ISNUMBER('Cálculo Aforo'!W192),('Cálculo Aforo'!W192),"")</f>
        <v/>
      </c>
      <c r="C80" s="116" t="str">
        <f>+IF(ISNUMBER('Cálculo Aforo'!X192),('Cálculo Aforo'!X192),"")</f>
        <v/>
      </c>
      <c r="D80" s="116" t="str">
        <f>+IF(ISNUMBER('Cálculo Aforo'!Y192),('Cálculo Aforo'!Y192),"")</f>
        <v/>
      </c>
      <c r="E80" s="116" t="str">
        <f>+IF(ISNUMBER('Cálculo Aforo'!Z192),('Cálculo Aforo'!Z192),"")</f>
        <v/>
      </c>
      <c r="F80" s="116" t="str">
        <f>+IF(ISNUMBER('Cálculo Aforo'!AA192),('Cálculo Aforo'!AA192),"")</f>
        <v/>
      </c>
      <c r="G80" s="116" t="str">
        <f>+IF(ISNUMBER('Cálculo Aforo'!AB192),('Cálculo Aforo'!AB192),"")</f>
        <v/>
      </c>
      <c r="H80" s="116" t="str">
        <f>+IF(ISNUMBER('Cálculo Aforo'!AC192),('Cálculo Aforo'!AC192),"")</f>
        <v/>
      </c>
      <c r="I80" s="116" t="str">
        <f>+IF(ISNUMBER('Cálculo Aforo'!AD192),('Cálculo Aforo'!AD192),"")</f>
        <v/>
      </c>
      <c r="J80" s="116" t="str">
        <f>+IF(ISNUMBER('Cálculo Aforo'!AE192),('Cálculo Aforo'!AE192),"")</f>
        <v/>
      </c>
    </row>
    <row r="81" spans="2:10" x14ac:dyDescent="0.25">
      <c r="B81" s="116" t="str">
        <f>+IF(ISNUMBER('Cálculo Aforo'!W193),('Cálculo Aforo'!W193),"")</f>
        <v/>
      </c>
      <c r="C81" s="116" t="str">
        <f>+IF(ISNUMBER('Cálculo Aforo'!X193),('Cálculo Aforo'!X193),"")</f>
        <v/>
      </c>
      <c r="D81" s="116" t="str">
        <f>+IF(ISNUMBER('Cálculo Aforo'!Y193),('Cálculo Aforo'!Y193),"")</f>
        <v/>
      </c>
      <c r="E81" s="116" t="str">
        <f>+IF(ISNUMBER('Cálculo Aforo'!Z193),('Cálculo Aforo'!Z193),"")</f>
        <v/>
      </c>
      <c r="F81" s="116" t="str">
        <f>+IF(ISNUMBER('Cálculo Aforo'!AA193),('Cálculo Aforo'!AA193),"")</f>
        <v/>
      </c>
      <c r="G81" s="116" t="str">
        <f>+IF(ISNUMBER('Cálculo Aforo'!AB193),('Cálculo Aforo'!AB193),"")</f>
        <v/>
      </c>
      <c r="H81" s="116" t="str">
        <f>+IF(ISNUMBER('Cálculo Aforo'!AC193),('Cálculo Aforo'!AC193),"")</f>
        <v/>
      </c>
      <c r="I81" s="116" t="str">
        <f>+IF(ISNUMBER('Cálculo Aforo'!AD193),('Cálculo Aforo'!AD193),"")</f>
        <v/>
      </c>
      <c r="J81" s="116" t="str">
        <f>+IF(ISNUMBER('Cálculo Aforo'!AE193),('Cálculo Aforo'!AE193),"")</f>
        <v/>
      </c>
    </row>
    <row r="82" spans="2:10" x14ac:dyDescent="0.25">
      <c r="B82" s="116" t="str">
        <f>+IF(ISNUMBER('Cálculo Aforo'!W194),('Cálculo Aforo'!W194),"")</f>
        <v/>
      </c>
      <c r="C82" s="116" t="str">
        <f>+IF(ISNUMBER('Cálculo Aforo'!X194),('Cálculo Aforo'!X194),"")</f>
        <v/>
      </c>
      <c r="D82" s="116" t="str">
        <f>+IF(ISNUMBER('Cálculo Aforo'!Y194),('Cálculo Aforo'!Y194),"")</f>
        <v/>
      </c>
      <c r="E82" s="116" t="str">
        <f>+IF(ISNUMBER('Cálculo Aforo'!Z194),('Cálculo Aforo'!Z194),"")</f>
        <v/>
      </c>
      <c r="F82" s="116" t="str">
        <f>+IF(ISNUMBER('Cálculo Aforo'!AA194),('Cálculo Aforo'!AA194),"")</f>
        <v/>
      </c>
      <c r="G82" s="116" t="str">
        <f>+IF(ISNUMBER('Cálculo Aforo'!AB194),('Cálculo Aforo'!AB194),"")</f>
        <v/>
      </c>
      <c r="H82" s="116" t="str">
        <f>+IF(ISNUMBER('Cálculo Aforo'!AC194),('Cálculo Aforo'!AC194),"")</f>
        <v/>
      </c>
      <c r="I82" s="116" t="str">
        <f>+IF(ISNUMBER('Cálculo Aforo'!AD194),('Cálculo Aforo'!AD194),"")</f>
        <v/>
      </c>
      <c r="J82" s="116" t="str">
        <f>+IF(ISNUMBER('Cálculo Aforo'!AE194),('Cálculo Aforo'!AE194),"")</f>
        <v/>
      </c>
    </row>
    <row r="83" spans="2:10" x14ac:dyDescent="0.25">
      <c r="B83" s="116" t="str">
        <f>+IF(ISNUMBER('Cálculo Aforo'!W195),('Cálculo Aforo'!W195),"")</f>
        <v/>
      </c>
      <c r="C83" s="116" t="str">
        <f>+IF(ISNUMBER('Cálculo Aforo'!X195),('Cálculo Aforo'!X195),"")</f>
        <v/>
      </c>
      <c r="D83" s="116" t="str">
        <f>+IF(ISNUMBER('Cálculo Aforo'!Y195),('Cálculo Aforo'!Y195),"")</f>
        <v/>
      </c>
      <c r="E83" s="116" t="str">
        <f>+IF(ISNUMBER('Cálculo Aforo'!Z195),('Cálculo Aforo'!Z195),"")</f>
        <v/>
      </c>
      <c r="F83" s="116" t="str">
        <f>+IF(ISNUMBER('Cálculo Aforo'!AA195),('Cálculo Aforo'!AA195),"")</f>
        <v/>
      </c>
      <c r="G83" s="116" t="str">
        <f>+IF(ISNUMBER('Cálculo Aforo'!AB195),('Cálculo Aforo'!AB195),"")</f>
        <v/>
      </c>
      <c r="H83" s="116" t="str">
        <f>+IF(ISNUMBER('Cálculo Aforo'!AC195),('Cálculo Aforo'!AC195),"")</f>
        <v/>
      </c>
      <c r="I83" s="116" t="str">
        <f>+IF(ISNUMBER('Cálculo Aforo'!AD195),('Cálculo Aforo'!AD195),"")</f>
        <v/>
      </c>
      <c r="J83" s="116" t="str">
        <f>+IF(ISNUMBER('Cálculo Aforo'!AE195),('Cálculo Aforo'!AE195),"")</f>
        <v/>
      </c>
    </row>
    <row r="84" spans="2:10" x14ac:dyDescent="0.25">
      <c r="B84" s="116" t="str">
        <f>+IF(ISNUMBER('Cálculo Aforo'!W196),('Cálculo Aforo'!W196),"")</f>
        <v/>
      </c>
      <c r="C84" s="116" t="str">
        <f>+IF(ISNUMBER('Cálculo Aforo'!X196),('Cálculo Aforo'!X196),"")</f>
        <v/>
      </c>
      <c r="D84" s="116" t="str">
        <f>+IF(ISNUMBER('Cálculo Aforo'!Y196),('Cálculo Aforo'!Y196),"")</f>
        <v/>
      </c>
      <c r="E84" s="116" t="str">
        <f>+IF(ISNUMBER('Cálculo Aforo'!Z196),('Cálculo Aforo'!Z196),"")</f>
        <v/>
      </c>
      <c r="F84" s="116" t="str">
        <f>+IF(ISNUMBER('Cálculo Aforo'!AA196),('Cálculo Aforo'!AA196),"")</f>
        <v/>
      </c>
      <c r="G84" s="116" t="str">
        <f>+IF(ISNUMBER('Cálculo Aforo'!AB196),('Cálculo Aforo'!AB196),"")</f>
        <v/>
      </c>
      <c r="H84" s="116" t="str">
        <f>+IF(ISNUMBER('Cálculo Aforo'!AC196),('Cálculo Aforo'!AC196),"")</f>
        <v/>
      </c>
      <c r="I84" s="116" t="str">
        <f>+IF(ISNUMBER('Cálculo Aforo'!AD196),('Cálculo Aforo'!AD196),"")</f>
        <v/>
      </c>
      <c r="J84" s="116" t="str">
        <f>+IF(ISNUMBER('Cálculo Aforo'!AE196),('Cálculo Aforo'!AE196),"")</f>
        <v/>
      </c>
    </row>
    <row r="85" spans="2:10" x14ac:dyDescent="0.25">
      <c r="B85" s="116" t="str">
        <f>+IF(ISNUMBER('Cálculo Aforo'!W197),('Cálculo Aforo'!W197),"")</f>
        <v/>
      </c>
      <c r="C85" s="116" t="str">
        <f>+IF(ISNUMBER('Cálculo Aforo'!X197),('Cálculo Aforo'!X197),"")</f>
        <v/>
      </c>
      <c r="D85" s="116" t="str">
        <f>+IF(ISNUMBER('Cálculo Aforo'!Y197),('Cálculo Aforo'!Y197),"")</f>
        <v/>
      </c>
      <c r="E85" s="116" t="str">
        <f>+IF(ISNUMBER('Cálculo Aforo'!Z197),('Cálculo Aforo'!Z197),"")</f>
        <v/>
      </c>
      <c r="F85" s="116" t="str">
        <f>+IF(ISNUMBER('Cálculo Aforo'!AA197),('Cálculo Aforo'!AA197),"")</f>
        <v/>
      </c>
      <c r="G85" s="116" t="str">
        <f>+IF(ISNUMBER('Cálculo Aforo'!AB197),('Cálculo Aforo'!AB197),"")</f>
        <v/>
      </c>
      <c r="H85" s="116" t="str">
        <f>+IF(ISNUMBER('Cálculo Aforo'!AC197),('Cálculo Aforo'!AC197),"")</f>
        <v/>
      </c>
      <c r="I85" s="116" t="str">
        <f>+IF(ISNUMBER('Cálculo Aforo'!AD197),('Cálculo Aforo'!AD197),"")</f>
        <v/>
      </c>
      <c r="J85" s="116" t="str">
        <f>+IF(ISNUMBER('Cálculo Aforo'!AE197),('Cálculo Aforo'!AE197),"")</f>
        <v/>
      </c>
    </row>
    <row r="86" spans="2:10" x14ac:dyDescent="0.25">
      <c r="B86" s="116" t="str">
        <f>+IF(ISNUMBER('Cálculo Aforo'!W198),('Cálculo Aforo'!W198),"")</f>
        <v/>
      </c>
      <c r="C86" s="116" t="str">
        <f>+IF(ISNUMBER('Cálculo Aforo'!X198),('Cálculo Aforo'!X198),"")</f>
        <v/>
      </c>
      <c r="D86" s="116" t="str">
        <f>+IF(ISNUMBER('Cálculo Aforo'!Y198),('Cálculo Aforo'!Y198),"")</f>
        <v/>
      </c>
      <c r="E86" s="116" t="str">
        <f>+IF(ISNUMBER('Cálculo Aforo'!Z198),('Cálculo Aforo'!Z198),"")</f>
        <v/>
      </c>
      <c r="F86" s="116" t="str">
        <f>+IF(ISNUMBER('Cálculo Aforo'!AA198),('Cálculo Aforo'!AA198),"")</f>
        <v/>
      </c>
      <c r="G86" s="116" t="str">
        <f>+IF(ISNUMBER('Cálculo Aforo'!AB198),('Cálculo Aforo'!AB198),"")</f>
        <v/>
      </c>
      <c r="H86" s="116" t="str">
        <f>+IF(ISNUMBER('Cálculo Aforo'!AC198),('Cálculo Aforo'!AC198),"")</f>
        <v/>
      </c>
      <c r="I86" s="116" t="str">
        <f>+IF(ISNUMBER('Cálculo Aforo'!AD198),('Cálculo Aforo'!AD198),"")</f>
        <v/>
      </c>
      <c r="J86" s="116" t="str">
        <f>+IF(ISNUMBER('Cálculo Aforo'!AE198),('Cálculo Aforo'!AE198),"")</f>
        <v/>
      </c>
    </row>
    <row r="87" spans="2:10" x14ac:dyDescent="0.25">
      <c r="B87" s="116" t="str">
        <f>+IF(ISNUMBER('Cálculo Aforo'!W199),('Cálculo Aforo'!W199),"")</f>
        <v/>
      </c>
      <c r="C87" s="116" t="str">
        <f>+IF(ISNUMBER('Cálculo Aforo'!X199),('Cálculo Aforo'!X199),"")</f>
        <v/>
      </c>
      <c r="D87" s="116" t="str">
        <f>+IF(ISNUMBER('Cálculo Aforo'!Y199),('Cálculo Aforo'!Y199),"")</f>
        <v/>
      </c>
      <c r="E87" s="116" t="str">
        <f>+IF(ISNUMBER('Cálculo Aforo'!Z199),('Cálculo Aforo'!Z199),"")</f>
        <v/>
      </c>
      <c r="F87" s="116" t="str">
        <f>+IF(ISNUMBER('Cálculo Aforo'!AA199),('Cálculo Aforo'!AA199),"")</f>
        <v/>
      </c>
      <c r="G87" s="116" t="str">
        <f>+IF(ISNUMBER('Cálculo Aforo'!AB199),('Cálculo Aforo'!AB199),"")</f>
        <v/>
      </c>
      <c r="H87" s="116" t="str">
        <f>+IF(ISNUMBER('Cálculo Aforo'!AC199),('Cálculo Aforo'!AC199),"")</f>
        <v/>
      </c>
      <c r="I87" s="116" t="str">
        <f>+IF(ISNUMBER('Cálculo Aforo'!AD199),('Cálculo Aforo'!AD199),"")</f>
        <v/>
      </c>
      <c r="J87" s="116" t="str">
        <f>+IF(ISNUMBER('Cálculo Aforo'!AE199),('Cálculo Aforo'!AE199),"")</f>
        <v/>
      </c>
    </row>
    <row r="88" spans="2:10" x14ac:dyDescent="0.25">
      <c r="B88" s="116" t="str">
        <f>+IF(ISNUMBER('Cálculo Aforo'!W200),('Cálculo Aforo'!W200),"")</f>
        <v/>
      </c>
      <c r="C88" s="116" t="str">
        <f>+IF(ISNUMBER('Cálculo Aforo'!X200),('Cálculo Aforo'!X200),"")</f>
        <v/>
      </c>
      <c r="D88" s="116" t="str">
        <f>+IF(ISNUMBER('Cálculo Aforo'!Y200),('Cálculo Aforo'!Y200),"")</f>
        <v/>
      </c>
      <c r="E88" s="116" t="str">
        <f>+IF(ISNUMBER('Cálculo Aforo'!Z200),('Cálculo Aforo'!Z200),"")</f>
        <v/>
      </c>
      <c r="F88" s="116" t="str">
        <f>+IF(ISNUMBER('Cálculo Aforo'!AA200),('Cálculo Aforo'!AA200),"")</f>
        <v/>
      </c>
      <c r="G88" s="116" t="str">
        <f>+IF(ISNUMBER('Cálculo Aforo'!AB200),('Cálculo Aforo'!AB200),"")</f>
        <v/>
      </c>
      <c r="H88" s="116" t="str">
        <f>+IF(ISNUMBER('Cálculo Aforo'!AC200),('Cálculo Aforo'!AC200),"")</f>
        <v/>
      </c>
      <c r="I88" s="116" t="str">
        <f>+IF(ISNUMBER('Cálculo Aforo'!AD200),('Cálculo Aforo'!AD200),"")</f>
        <v/>
      </c>
      <c r="J88" s="116" t="str">
        <f>+IF(ISNUMBER('Cálculo Aforo'!AE200),('Cálculo Aforo'!AE200),"")</f>
        <v/>
      </c>
    </row>
  </sheetData>
  <sheetProtection password="B321" sheet="1" objects="1" scenarios="1" selectLockedCells="1" autoFilter="0"/>
  <autoFilter ref="B17:B41"/>
  <mergeCells count="63">
    <mergeCell ref="C18:C20"/>
    <mergeCell ref="D18:D20"/>
    <mergeCell ref="M18:M20"/>
    <mergeCell ref="C27:C29"/>
    <mergeCell ref="D27:D29"/>
    <mergeCell ref="M27:M29"/>
    <mergeCell ref="N27:N29"/>
    <mergeCell ref="M33:M35"/>
    <mergeCell ref="C21:C23"/>
    <mergeCell ref="D21:D23"/>
    <mergeCell ref="M21:M23"/>
    <mergeCell ref="N21:N23"/>
    <mergeCell ref="C24:C26"/>
    <mergeCell ref="D24:D26"/>
    <mergeCell ref="M24:M26"/>
    <mergeCell ref="N24:N26"/>
    <mergeCell ref="H47:J47"/>
    <mergeCell ref="C43:T44"/>
    <mergeCell ref="D33:D35"/>
    <mergeCell ref="B48:D48"/>
    <mergeCell ref="H48:J48"/>
    <mergeCell ref="O48:Q48"/>
    <mergeCell ref="N39:N41"/>
    <mergeCell ref="C39:C41"/>
    <mergeCell ref="D39:D41"/>
    <mergeCell ref="M39:M41"/>
    <mergeCell ref="M15:M17"/>
    <mergeCell ref="C15:C17"/>
    <mergeCell ref="D15:D16"/>
    <mergeCell ref="N18:N20"/>
    <mergeCell ref="O47:Q47"/>
    <mergeCell ref="C30:C32"/>
    <mergeCell ref="D30:D32"/>
    <mergeCell ref="M30:M32"/>
    <mergeCell ref="N30:N32"/>
    <mergeCell ref="N33:N35"/>
    <mergeCell ref="C36:C38"/>
    <mergeCell ref="D36:D38"/>
    <mergeCell ref="M36:M38"/>
    <mergeCell ref="N36:N38"/>
    <mergeCell ref="B47:D47"/>
    <mergeCell ref="C33:C35"/>
    <mergeCell ref="E9:H9"/>
    <mergeCell ref="E8:H8"/>
    <mergeCell ref="B5:D5"/>
    <mergeCell ref="B4:D4"/>
    <mergeCell ref="B8:C8"/>
    <mergeCell ref="E15:G16"/>
    <mergeCell ref="H15:J16"/>
    <mergeCell ref="L15:L17"/>
    <mergeCell ref="L11:M11"/>
    <mergeCell ref="B1:T1"/>
    <mergeCell ref="N5:T5"/>
    <mergeCell ref="N6:T13"/>
    <mergeCell ref="K8:L9"/>
    <mergeCell ref="N15:N16"/>
    <mergeCell ref="O15:Q16"/>
    <mergeCell ref="R15:T16"/>
    <mergeCell ref="C3:G3"/>
    <mergeCell ref="E4:G4"/>
    <mergeCell ref="C6:F6"/>
    <mergeCell ref="C7:F7"/>
    <mergeCell ref="E10:H10"/>
  </mergeCells>
  <dataValidations count="1">
    <dataValidation type="list" allowBlank="1" showInputMessage="1" showErrorMessage="1" sqref="C12 C13">
      <formula1>"X"</formula1>
    </dataValidation>
  </dataValidations>
  <pageMargins left="0.7" right="0.7" top="0.75" bottom="0.75" header="0.3" footer="0.3"/>
  <pageSetup scale="51" orientation="landscape" verticalDpi="300"/>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autoPageBreaks="0"/>
  </sheetPr>
  <dimension ref="A1:BN364"/>
  <sheetViews>
    <sheetView showGridLines="0" zoomScale="61" zoomScaleNormal="60" zoomScalePageLayoutView="60" workbookViewId="0">
      <selection activeCell="W27" sqref="W27:AB46"/>
    </sheetView>
  </sheetViews>
  <sheetFormatPr baseColWidth="10" defaultColWidth="10.85546875" defaultRowHeight="15" x14ac:dyDescent="0.25"/>
  <cols>
    <col min="1" max="1" width="2.85546875" style="1" customWidth="1"/>
    <col min="2" max="2" width="15.28515625" style="1" customWidth="1"/>
    <col min="3" max="4" width="14.28515625" style="1" customWidth="1"/>
    <col min="5" max="7" width="10.7109375" style="1" customWidth="1"/>
    <col min="8" max="12" width="1" style="8" customWidth="1"/>
    <col min="13" max="13" width="1" style="6" customWidth="1"/>
    <col min="14" max="18" width="10.7109375" style="1" customWidth="1"/>
    <col min="19" max="20" width="10.85546875" style="1"/>
    <col min="21" max="21" width="1.28515625" style="1" customWidth="1"/>
    <col min="22" max="22" width="2.28515625" style="1" customWidth="1"/>
    <col min="23" max="31" width="10.85546875" style="1"/>
    <col min="32" max="35" width="0" style="1" hidden="1" customWidth="1"/>
    <col min="36" max="36" width="11.28515625" style="1" hidden="1" customWidth="1"/>
    <col min="37" max="37" width="5.140625" style="1" hidden="1" customWidth="1"/>
    <col min="38" max="40" width="11.28515625" style="33" hidden="1" customWidth="1"/>
    <col min="41" max="42" width="11.28515625" style="1" hidden="1" customWidth="1"/>
    <col min="43" max="43" width="2" style="1" customWidth="1"/>
    <col min="44" max="44" width="10.85546875" style="1"/>
    <col min="45" max="60" width="5.140625" style="1" customWidth="1"/>
    <col min="61" max="16384" width="10.85546875" style="1"/>
  </cols>
  <sheetData>
    <row r="1" spans="1:66" ht="15" customHeight="1" x14ac:dyDescent="0.25">
      <c r="A1" s="9"/>
      <c r="B1" s="9"/>
      <c r="C1" s="9"/>
      <c r="D1" s="9"/>
      <c r="E1" s="9"/>
      <c r="F1" s="9"/>
      <c r="G1" s="9"/>
      <c r="H1" s="85"/>
      <c r="I1" s="85"/>
      <c r="J1" s="85"/>
      <c r="K1" s="85"/>
      <c r="L1" s="85"/>
      <c r="M1" s="83"/>
      <c r="N1" s="9"/>
      <c r="O1" s="9"/>
      <c r="P1" s="9"/>
      <c r="Q1" s="9"/>
      <c r="R1" s="9"/>
      <c r="S1" s="9"/>
      <c r="T1" s="9"/>
      <c r="U1" s="21"/>
      <c r="V1" s="21"/>
      <c r="W1" s="9"/>
      <c r="X1" s="9"/>
      <c r="Y1" s="9"/>
      <c r="Z1" s="9"/>
      <c r="AA1" s="9"/>
      <c r="AB1" s="9"/>
      <c r="AC1" s="9"/>
      <c r="AD1" s="9"/>
      <c r="AE1" s="9"/>
      <c r="AF1" s="9"/>
      <c r="AG1" s="9"/>
      <c r="AH1" s="9"/>
      <c r="AI1" s="9"/>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row>
    <row r="2" spans="1:66" ht="36.75" customHeight="1" x14ac:dyDescent="0.25">
      <c r="A2" s="9"/>
      <c r="B2" s="317" t="s">
        <v>152</v>
      </c>
      <c r="C2" s="318"/>
      <c r="D2" s="318"/>
      <c r="E2" s="318"/>
      <c r="F2" s="318"/>
      <c r="G2" s="318"/>
      <c r="H2" s="318"/>
      <c r="I2" s="318"/>
      <c r="J2" s="318"/>
      <c r="K2" s="318"/>
      <c r="L2" s="318"/>
      <c r="M2" s="318"/>
      <c r="N2" s="318"/>
      <c r="O2" s="318"/>
      <c r="P2" s="318"/>
      <c r="Q2" s="318"/>
      <c r="R2" s="318"/>
      <c r="S2" s="318"/>
      <c r="T2" s="319"/>
      <c r="U2" s="9"/>
      <c r="V2" s="9"/>
      <c r="W2" s="281" t="s">
        <v>40</v>
      </c>
      <c r="X2" s="281"/>
      <c r="Y2" s="281"/>
      <c r="Z2" s="281"/>
      <c r="AA2" s="281"/>
      <c r="AB2" s="281"/>
      <c r="AC2" s="281"/>
      <c r="AD2" s="88"/>
      <c r="AE2" s="88"/>
      <c r="AF2" s="88"/>
      <c r="AG2" s="88"/>
      <c r="AH2" s="88"/>
      <c r="AI2" s="88"/>
      <c r="AJ2" s="9"/>
      <c r="AK2" s="83"/>
      <c r="AL2" s="9"/>
      <c r="AM2" s="9"/>
      <c r="AN2" s="9"/>
      <c r="AO2" s="9"/>
      <c r="AP2" s="9"/>
      <c r="AQ2" s="9"/>
      <c r="AR2" s="9"/>
      <c r="AS2" s="9"/>
      <c r="AT2" s="9"/>
      <c r="AU2" s="9"/>
      <c r="AV2" s="9"/>
      <c r="AW2" s="9"/>
      <c r="AX2" s="9"/>
      <c r="AY2" s="9"/>
      <c r="AZ2" s="9"/>
      <c r="BA2" s="9"/>
      <c r="BB2" s="9"/>
      <c r="BC2" s="9"/>
      <c r="BD2" s="9"/>
      <c r="BE2" s="9"/>
      <c r="BF2" s="9"/>
      <c r="BG2" s="9"/>
      <c r="BH2" s="9"/>
      <c r="BI2" s="9"/>
      <c r="BJ2" s="9"/>
      <c r="BK2" s="9"/>
    </row>
    <row r="3" spans="1:66" ht="15.75" customHeight="1" x14ac:dyDescent="0.25">
      <c r="A3" s="9"/>
      <c r="B3" s="9"/>
      <c r="C3" s="9"/>
      <c r="D3" s="9"/>
      <c r="E3" s="9"/>
      <c r="F3" s="9"/>
      <c r="G3" s="9"/>
      <c r="H3" s="85"/>
      <c r="I3" s="85"/>
      <c r="J3" s="85"/>
      <c r="K3" s="85"/>
      <c r="L3" s="85"/>
      <c r="M3" s="83"/>
      <c r="N3" s="9"/>
      <c r="O3" s="9"/>
      <c r="P3" s="9"/>
      <c r="Q3" s="9"/>
      <c r="R3" s="9"/>
      <c r="S3" s="9"/>
      <c r="T3" s="9"/>
      <c r="U3" s="21"/>
      <c r="V3" s="21"/>
      <c r="W3" s="321" t="s">
        <v>117</v>
      </c>
      <c r="X3" s="321"/>
      <c r="Y3" s="321"/>
      <c r="Z3" s="321"/>
      <c r="AA3" s="321"/>
      <c r="AB3" s="321"/>
      <c r="AC3" s="321"/>
      <c r="AD3" s="9"/>
      <c r="AE3" s="9"/>
      <c r="AF3" s="9"/>
      <c r="AG3" s="9"/>
      <c r="AH3" s="9"/>
      <c r="AI3" s="9"/>
      <c r="AJ3" s="9"/>
      <c r="AK3" s="83"/>
      <c r="AL3" s="9"/>
      <c r="AM3" s="9"/>
      <c r="AN3" s="9"/>
      <c r="AO3" s="9"/>
      <c r="AP3" s="9"/>
      <c r="AQ3" s="9"/>
      <c r="AR3" s="9"/>
      <c r="AS3" s="9"/>
      <c r="AT3" s="9"/>
      <c r="AU3" s="9"/>
      <c r="AV3" s="9"/>
      <c r="AW3" s="9"/>
      <c r="AX3" s="9"/>
      <c r="AY3" s="9"/>
      <c r="AZ3" s="9"/>
      <c r="BA3" s="9"/>
      <c r="BB3" s="9"/>
      <c r="BC3" s="9"/>
      <c r="BD3" s="9"/>
      <c r="BE3" s="9"/>
      <c r="BF3" s="9"/>
      <c r="BG3" s="9"/>
      <c r="BH3" s="9"/>
      <c r="BI3" s="9"/>
      <c r="BJ3" s="9"/>
      <c r="BK3" s="9"/>
    </row>
    <row r="4" spans="1:66" ht="29.25" customHeight="1" x14ac:dyDescent="0.25">
      <c r="A4" s="9"/>
      <c r="B4" s="231" t="s">
        <v>71</v>
      </c>
      <c r="C4" s="232"/>
      <c r="D4" s="436"/>
      <c r="E4" s="436"/>
      <c r="F4" s="436"/>
      <c r="G4" s="436"/>
      <c r="H4" s="436"/>
      <c r="I4" s="436"/>
      <c r="J4" s="436"/>
      <c r="K4" s="436"/>
      <c r="L4" s="436"/>
      <c r="M4" s="436"/>
      <c r="N4" s="436"/>
      <c r="O4" s="436"/>
      <c r="P4" s="436"/>
      <c r="Q4" s="436"/>
      <c r="R4" s="436"/>
      <c r="S4" s="436"/>
      <c r="T4" s="436"/>
      <c r="U4" s="436"/>
      <c r="V4" s="436"/>
      <c r="W4" s="436"/>
      <c r="X4" s="436"/>
      <c r="Y4" s="206"/>
      <c r="Z4" s="206"/>
      <c r="AA4" s="206"/>
      <c r="AB4" s="9"/>
      <c r="AC4" s="9"/>
      <c r="AD4" s="9"/>
      <c r="AE4" s="9"/>
      <c r="AF4" s="9"/>
      <c r="AG4" s="9"/>
      <c r="AH4" s="9"/>
      <c r="AI4" s="9"/>
      <c r="AJ4" s="9"/>
      <c r="AK4" s="90"/>
      <c r="AL4" s="9"/>
      <c r="AM4" s="9"/>
      <c r="AN4" s="9"/>
      <c r="AO4" s="9"/>
      <c r="AP4" s="9"/>
      <c r="AQ4" s="9"/>
      <c r="AR4" s="9"/>
      <c r="AS4" s="9"/>
      <c r="AT4" s="9"/>
      <c r="AU4" s="9"/>
      <c r="AV4" s="9"/>
      <c r="AW4" s="9"/>
      <c r="AX4" s="9"/>
    </row>
    <row r="5" spans="1:66" ht="30" customHeight="1" x14ac:dyDescent="0.25">
      <c r="A5" s="9"/>
      <c r="B5" s="231" t="s">
        <v>66</v>
      </c>
      <c r="C5" s="232"/>
      <c r="D5" s="436"/>
      <c r="E5" s="436"/>
      <c r="F5" s="436"/>
      <c r="G5" s="436"/>
      <c r="H5" s="436"/>
      <c r="I5" s="436"/>
      <c r="J5" s="436"/>
      <c r="K5" s="436"/>
      <c r="L5" s="436"/>
      <c r="M5" s="436"/>
      <c r="N5" s="436"/>
      <c r="O5" s="436"/>
      <c r="P5" s="436"/>
      <c r="Q5" s="436"/>
      <c r="R5" s="436"/>
      <c r="S5" s="436"/>
      <c r="T5" s="436"/>
      <c r="U5" s="436"/>
      <c r="V5" s="436"/>
      <c r="W5" s="436"/>
      <c r="X5" s="436"/>
      <c r="Y5" s="24"/>
      <c r="Z5" s="249" t="s">
        <v>32</v>
      </c>
      <c r="AA5" s="250"/>
      <c r="AB5" s="251"/>
      <c r="AD5" s="322" t="s">
        <v>34</v>
      </c>
      <c r="AE5" s="322"/>
      <c r="AF5" s="322"/>
      <c r="AG5" s="322"/>
      <c r="AH5" s="322"/>
      <c r="AI5" s="322"/>
      <c r="AJ5" s="322"/>
      <c r="AK5" s="322"/>
      <c r="AL5" s="322"/>
      <c r="AM5" s="322"/>
      <c r="AN5" s="322"/>
      <c r="AO5" s="322"/>
      <c r="AP5" s="322"/>
      <c r="AQ5" s="322"/>
      <c r="AR5" s="322"/>
      <c r="AS5" s="9"/>
      <c r="AT5" s="9"/>
      <c r="AU5" s="9"/>
      <c r="AV5" s="9"/>
      <c r="AW5" s="9"/>
      <c r="AX5" s="9"/>
    </row>
    <row r="6" spans="1:66" ht="30" customHeight="1" x14ac:dyDescent="0.25">
      <c r="A6" s="9"/>
      <c r="B6" s="231" t="s">
        <v>27</v>
      </c>
      <c r="C6" s="232"/>
      <c r="D6" s="438"/>
      <c r="E6" s="438"/>
      <c r="F6" s="438"/>
      <c r="G6" s="438"/>
      <c r="H6" s="438"/>
      <c r="I6" s="438"/>
      <c r="J6" s="438"/>
      <c r="K6" s="438"/>
      <c r="L6" s="438"/>
      <c r="M6" s="438"/>
      <c r="N6" s="438"/>
      <c r="O6" s="438"/>
      <c r="P6" s="438"/>
      <c r="Q6" s="438"/>
      <c r="R6" s="438"/>
      <c r="S6" s="438"/>
      <c r="T6" s="438"/>
      <c r="U6" s="438"/>
      <c r="V6" s="438"/>
      <c r="W6" s="438"/>
      <c r="X6" s="438"/>
      <c r="Y6" s="24"/>
      <c r="Z6" s="252"/>
      <c r="AA6" s="253"/>
      <c r="AB6" s="254"/>
      <c r="AC6" s="24"/>
      <c r="AD6" s="322"/>
      <c r="AE6" s="322"/>
      <c r="AF6" s="322"/>
      <c r="AG6" s="322"/>
      <c r="AH6" s="322"/>
      <c r="AI6" s="322"/>
      <c r="AJ6" s="322"/>
      <c r="AK6" s="322"/>
      <c r="AL6" s="322"/>
      <c r="AM6" s="322"/>
      <c r="AN6" s="322"/>
      <c r="AO6" s="322"/>
      <c r="AP6" s="322"/>
      <c r="AQ6" s="322"/>
      <c r="AR6" s="322"/>
      <c r="AS6" s="9"/>
      <c r="AT6" s="9"/>
      <c r="AU6" s="9"/>
      <c r="AV6" s="9"/>
      <c r="AW6" s="9"/>
      <c r="AX6" s="9"/>
    </row>
    <row r="7" spans="1:66" ht="30" customHeight="1" x14ac:dyDescent="0.25">
      <c r="A7" s="9"/>
      <c r="B7" s="231" t="s">
        <v>59</v>
      </c>
      <c r="C7" s="232"/>
      <c r="D7" s="437"/>
      <c r="E7" s="437"/>
      <c r="F7" s="437"/>
      <c r="G7" s="437"/>
      <c r="H7" s="437"/>
      <c r="I7" s="437"/>
      <c r="J7" s="437"/>
      <c r="K7" s="437"/>
      <c r="L7" s="437"/>
      <c r="M7" s="437"/>
      <c r="N7" s="437"/>
      <c r="O7" s="437"/>
      <c r="P7" s="437"/>
      <c r="Q7" s="437"/>
      <c r="R7" s="437"/>
      <c r="S7" s="437"/>
      <c r="T7" s="437"/>
      <c r="U7" s="437"/>
      <c r="V7" s="437"/>
      <c r="W7" s="437"/>
      <c r="X7" s="437"/>
      <c r="Y7" s="24"/>
      <c r="Z7" s="252"/>
      <c r="AA7" s="253"/>
      <c r="AB7" s="254"/>
      <c r="AC7" s="24"/>
      <c r="AD7" s="322"/>
      <c r="AE7" s="322"/>
      <c r="AF7" s="322"/>
      <c r="AG7" s="322"/>
      <c r="AH7" s="322"/>
      <c r="AI7" s="322"/>
      <c r="AJ7" s="322"/>
      <c r="AK7" s="322"/>
      <c r="AL7" s="322"/>
      <c r="AM7" s="322"/>
      <c r="AN7" s="322"/>
      <c r="AO7" s="322"/>
      <c r="AP7" s="322"/>
      <c r="AQ7" s="322"/>
      <c r="AR7" s="322"/>
      <c r="AS7" s="9"/>
      <c r="AT7" s="9"/>
      <c r="AU7" s="9"/>
      <c r="AV7" s="9"/>
      <c r="AW7" s="9"/>
      <c r="AX7" s="9"/>
      <c r="AY7" s="9"/>
      <c r="AZ7" s="9"/>
      <c r="BA7" s="9"/>
      <c r="BB7" s="9"/>
      <c r="BC7" s="9"/>
      <c r="BD7" s="9"/>
      <c r="BE7" s="9"/>
      <c r="BF7" s="9"/>
      <c r="BG7" s="9"/>
      <c r="BH7" s="9"/>
      <c r="BI7" s="9"/>
      <c r="BJ7" s="9"/>
      <c r="BK7" s="9"/>
    </row>
    <row r="8" spans="1:66" ht="30" customHeight="1" x14ac:dyDescent="0.25">
      <c r="A8" s="9"/>
      <c r="B8" s="231" t="s">
        <v>60</v>
      </c>
      <c r="C8" s="232"/>
      <c r="D8" s="437"/>
      <c r="E8" s="437"/>
      <c r="F8" s="437"/>
      <c r="G8" s="437"/>
      <c r="H8" s="437"/>
      <c r="I8" s="437"/>
      <c r="J8" s="437"/>
      <c r="K8" s="437"/>
      <c r="L8" s="437"/>
      <c r="M8" s="437"/>
      <c r="N8" s="437"/>
      <c r="O8" s="437"/>
      <c r="P8" s="437"/>
      <c r="Q8" s="437"/>
      <c r="R8" s="437"/>
      <c r="S8" s="437"/>
      <c r="T8" s="437"/>
      <c r="U8" s="437"/>
      <c r="V8" s="437"/>
      <c r="W8" s="437"/>
      <c r="X8" s="437"/>
      <c r="Y8" s="206"/>
      <c r="Z8" s="255"/>
      <c r="AA8" s="256"/>
      <c r="AB8" s="257"/>
      <c r="AC8" s="78"/>
      <c r="AD8" s="322"/>
      <c r="AE8" s="322"/>
      <c r="AF8" s="322"/>
      <c r="AG8" s="322"/>
      <c r="AH8" s="322"/>
      <c r="AI8" s="322"/>
      <c r="AJ8" s="322"/>
      <c r="AK8" s="322"/>
      <c r="AL8" s="322"/>
      <c r="AM8" s="322"/>
      <c r="AN8" s="322"/>
      <c r="AO8" s="322"/>
      <c r="AP8" s="322"/>
      <c r="AQ8" s="322"/>
      <c r="AR8" s="322"/>
      <c r="AS8" s="9"/>
      <c r="AT8" s="9"/>
      <c r="AU8" s="9"/>
      <c r="AV8" s="9"/>
      <c r="AW8" s="9"/>
      <c r="AX8" s="9"/>
      <c r="AY8" s="9"/>
      <c r="AZ8" s="9"/>
      <c r="BA8" s="9"/>
      <c r="BB8" s="9"/>
      <c r="BC8" s="9"/>
      <c r="BD8" s="9"/>
      <c r="BE8" s="9"/>
      <c r="BF8" s="9"/>
      <c r="BG8" s="9"/>
      <c r="BH8" s="9"/>
      <c r="BI8" s="9"/>
      <c r="BJ8" s="9"/>
      <c r="BK8" s="9"/>
    </row>
    <row r="9" spans="1:66" ht="30" customHeight="1" x14ac:dyDescent="0.25">
      <c r="A9" s="9"/>
      <c r="B9" s="231" t="s">
        <v>28</v>
      </c>
      <c r="C9" s="232"/>
      <c r="D9" s="436"/>
      <c r="E9" s="436"/>
      <c r="F9" s="436"/>
      <c r="G9" s="436"/>
      <c r="H9" s="436"/>
      <c r="I9" s="436"/>
      <c r="J9" s="436"/>
      <c r="K9" s="436"/>
      <c r="L9" s="436"/>
      <c r="M9" s="436"/>
      <c r="N9" s="436"/>
      <c r="O9" s="436"/>
      <c r="P9" s="436"/>
      <c r="Q9" s="436"/>
      <c r="R9" s="436"/>
      <c r="S9" s="436"/>
      <c r="T9" s="436"/>
      <c r="U9" s="436"/>
      <c r="V9" s="436"/>
      <c r="W9" s="436"/>
      <c r="X9" s="436"/>
      <c r="Y9" s="21"/>
      <c r="Z9" s="21"/>
      <c r="AA9" s="21"/>
      <c r="AB9" s="21"/>
      <c r="AC9" s="21"/>
      <c r="AD9" s="21"/>
      <c r="AE9" s="21"/>
      <c r="AF9" s="9"/>
      <c r="AG9" s="9"/>
      <c r="AH9" s="9"/>
      <c r="AI9" s="9"/>
      <c r="AJ9" s="9"/>
      <c r="AK9" s="83"/>
      <c r="AL9" s="9"/>
      <c r="AM9" s="9"/>
      <c r="AN9" s="9"/>
      <c r="AO9" s="9"/>
      <c r="AP9" s="9"/>
      <c r="AQ9" s="9"/>
      <c r="AR9" s="9"/>
      <c r="AS9" s="9"/>
      <c r="AT9" s="9"/>
      <c r="AU9" s="9"/>
      <c r="AV9" s="9"/>
      <c r="AW9" s="9"/>
      <c r="AX9" s="9"/>
      <c r="AY9" s="9"/>
      <c r="AZ9" s="9"/>
      <c r="BA9" s="9"/>
      <c r="BB9" s="9"/>
      <c r="BC9" s="9"/>
      <c r="BD9" s="9"/>
      <c r="BE9" s="9"/>
      <c r="BF9" s="9"/>
      <c r="BG9" s="9"/>
      <c r="BH9" s="9"/>
      <c r="BI9" s="9"/>
      <c r="BJ9" s="9"/>
      <c r="BK9" s="9"/>
    </row>
    <row r="10" spans="1:66" ht="30" customHeight="1" x14ac:dyDescent="0.25">
      <c r="A10" s="9"/>
      <c r="B10" s="231" t="s">
        <v>29</v>
      </c>
      <c r="C10" s="232"/>
      <c r="D10" s="436"/>
      <c r="E10" s="436"/>
      <c r="F10" s="436"/>
      <c r="G10" s="436"/>
      <c r="H10" s="436"/>
      <c r="I10" s="436"/>
      <c r="J10" s="436"/>
      <c r="K10" s="436"/>
      <c r="L10" s="436"/>
      <c r="M10" s="436"/>
      <c r="N10" s="436"/>
      <c r="O10" s="436"/>
      <c r="P10" s="436"/>
      <c r="Q10" s="436"/>
      <c r="R10" s="436"/>
      <c r="S10" s="436"/>
      <c r="T10" s="436"/>
      <c r="U10" s="436"/>
      <c r="V10" s="436"/>
      <c r="W10" s="436"/>
      <c r="X10" s="436"/>
      <c r="Z10" s="239" t="s">
        <v>38</v>
      </c>
      <c r="AA10" s="240"/>
      <c r="AB10" s="240"/>
      <c r="AC10" s="240"/>
      <c r="AD10" s="240"/>
      <c r="AE10" s="240"/>
      <c r="AF10" s="240"/>
      <c r="AG10" s="240"/>
      <c r="AH10" s="240"/>
      <c r="AI10" s="240"/>
      <c r="AJ10" s="240"/>
      <c r="AK10" s="240"/>
      <c r="AL10" s="240"/>
      <c r="AM10" s="240"/>
      <c r="AN10" s="240"/>
      <c r="AO10" s="240"/>
      <c r="AP10" s="240"/>
      <c r="AQ10" s="240"/>
      <c r="AR10" s="241"/>
      <c r="AS10" s="9"/>
      <c r="AT10" s="9"/>
      <c r="AU10" s="9"/>
      <c r="AV10" s="9"/>
      <c r="AW10" s="9"/>
      <c r="AX10" s="9"/>
      <c r="AY10" s="9"/>
      <c r="AZ10" s="9"/>
      <c r="BA10" s="9"/>
      <c r="BB10" s="9"/>
      <c r="BC10" s="9"/>
      <c r="BD10" s="9"/>
      <c r="BE10" s="9"/>
      <c r="BF10" s="9"/>
      <c r="BG10" s="9"/>
      <c r="BH10" s="9"/>
      <c r="BI10" s="9"/>
      <c r="BJ10" s="9"/>
      <c r="BK10" s="9"/>
    </row>
    <row r="11" spans="1:66" ht="30" customHeight="1" x14ac:dyDescent="0.25">
      <c r="A11" s="9"/>
      <c r="B11" s="307" t="s">
        <v>30</v>
      </c>
      <c r="C11" s="308"/>
      <c r="D11" s="433"/>
      <c r="E11" s="433"/>
      <c r="F11" s="433"/>
      <c r="G11" s="433"/>
      <c r="H11" s="433"/>
      <c r="I11" s="433"/>
      <c r="J11" s="433"/>
      <c r="K11" s="433"/>
      <c r="L11" s="433"/>
      <c r="M11" s="433"/>
      <c r="N11" s="433"/>
      <c r="O11" s="433"/>
      <c r="P11" s="433"/>
      <c r="Q11" s="433"/>
      <c r="R11" s="433"/>
      <c r="S11" s="433"/>
      <c r="T11" s="433"/>
      <c r="U11" s="433"/>
      <c r="V11" s="433"/>
      <c r="W11" s="433"/>
      <c r="X11" s="433"/>
      <c r="Z11" s="242"/>
      <c r="AA11" s="243"/>
      <c r="AB11" s="243"/>
      <c r="AC11" s="243"/>
      <c r="AD11" s="243"/>
      <c r="AE11" s="243"/>
      <c r="AF11" s="243"/>
      <c r="AG11" s="243"/>
      <c r="AH11" s="243"/>
      <c r="AI11" s="243"/>
      <c r="AJ11" s="243"/>
      <c r="AK11" s="243"/>
      <c r="AL11" s="243"/>
      <c r="AM11" s="243"/>
      <c r="AN11" s="243"/>
      <c r="AO11" s="243"/>
      <c r="AP11" s="243"/>
      <c r="AQ11" s="243"/>
      <c r="AR11" s="244"/>
      <c r="AS11" s="9"/>
      <c r="AT11" s="9"/>
      <c r="AU11" s="9"/>
      <c r="AV11" s="9"/>
      <c r="AW11" s="9"/>
      <c r="AX11" s="9"/>
      <c r="AY11" s="9"/>
      <c r="AZ11" s="9"/>
      <c r="BA11" s="9"/>
      <c r="BB11" s="9"/>
      <c r="BC11" s="9"/>
      <c r="BD11" s="9"/>
      <c r="BE11" s="9"/>
      <c r="BF11" s="9"/>
      <c r="BG11" s="9"/>
      <c r="BH11" s="9"/>
      <c r="BI11" s="9"/>
      <c r="BJ11" s="9"/>
      <c r="BK11" s="9"/>
    </row>
    <row r="12" spans="1:66" ht="30" customHeight="1" x14ac:dyDescent="0.25">
      <c r="A12" s="9"/>
      <c r="B12" s="226"/>
      <c r="C12" s="227"/>
      <c r="D12" s="433"/>
      <c r="E12" s="433"/>
      <c r="F12" s="433"/>
      <c r="G12" s="433"/>
      <c r="H12" s="433"/>
      <c r="I12" s="433"/>
      <c r="J12" s="433"/>
      <c r="K12" s="433"/>
      <c r="L12" s="433"/>
      <c r="M12" s="433"/>
      <c r="N12" s="433"/>
      <c r="O12" s="433"/>
      <c r="P12" s="433"/>
      <c r="Q12" s="433"/>
      <c r="R12" s="433"/>
      <c r="S12" s="433"/>
      <c r="T12" s="433"/>
      <c r="U12" s="433"/>
      <c r="V12" s="433"/>
      <c r="W12" s="433"/>
      <c r="X12" s="433"/>
      <c r="Z12" s="242"/>
      <c r="AA12" s="243"/>
      <c r="AB12" s="243"/>
      <c r="AC12" s="243"/>
      <c r="AD12" s="243"/>
      <c r="AE12" s="243"/>
      <c r="AF12" s="243"/>
      <c r="AG12" s="243"/>
      <c r="AH12" s="243"/>
      <c r="AI12" s="243"/>
      <c r="AJ12" s="243"/>
      <c r="AK12" s="243"/>
      <c r="AL12" s="243"/>
      <c r="AM12" s="243"/>
      <c r="AN12" s="243"/>
      <c r="AO12" s="243"/>
      <c r="AP12" s="243"/>
      <c r="AQ12" s="243"/>
      <c r="AR12" s="244"/>
      <c r="AS12" s="9"/>
      <c r="AT12" s="9"/>
      <c r="AU12" s="9"/>
      <c r="AV12" s="9"/>
      <c r="AW12" s="9"/>
      <c r="AX12" s="9"/>
      <c r="AY12" s="9"/>
      <c r="AZ12" s="9"/>
      <c r="BA12" s="9"/>
      <c r="BB12" s="9"/>
      <c r="BC12" s="9"/>
      <c r="BD12" s="9"/>
      <c r="BE12" s="9"/>
      <c r="BF12" s="9"/>
      <c r="BG12" s="9"/>
      <c r="BH12" s="9"/>
      <c r="BI12" s="9"/>
      <c r="BJ12" s="9"/>
      <c r="BK12" s="9"/>
    </row>
    <row r="13" spans="1:66" ht="30" customHeight="1" x14ac:dyDescent="0.25">
      <c r="A13" s="9"/>
      <c r="B13" s="226" t="s">
        <v>67</v>
      </c>
      <c r="C13" s="227"/>
      <c r="D13" s="433"/>
      <c r="E13" s="433"/>
      <c r="F13" s="433"/>
      <c r="G13" s="433"/>
      <c r="H13" s="433"/>
      <c r="I13" s="433"/>
      <c r="J13" s="433"/>
      <c r="K13" s="433"/>
      <c r="L13" s="433"/>
      <c r="M13" s="433"/>
      <c r="N13" s="433"/>
      <c r="O13" s="433"/>
      <c r="P13" s="433"/>
      <c r="Q13" s="433"/>
      <c r="R13" s="433"/>
      <c r="S13" s="433"/>
      <c r="T13" s="433"/>
      <c r="U13" s="433"/>
      <c r="V13" s="433"/>
      <c r="W13" s="433"/>
      <c r="X13" s="433"/>
      <c r="Z13" s="242"/>
      <c r="AA13" s="243"/>
      <c r="AB13" s="243"/>
      <c r="AC13" s="243"/>
      <c r="AD13" s="243"/>
      <c r="AE13" s="243"/>
      <c r="AF13" s="243"/>
      <c r="AG13" s="243"/>
      <c r="AH13" s="243"/>
      <c r="AI13" s="243"/>
      <c r="AJ13" s="243"/>
      <c r="AK13" s="243"/>
      <c r="AL13" s="243"/>
      <c r="AM13" s="243"/>
      <c r="AN13" s="243"/>
      <c r="AO13" s="243"/>
      <c r="AP13" s="243"/>
      <c r="AQ13" s="243"/>
      <c r="AR13" s="244"/>
      <c r="AU13" s="323" t="s">
        <v>65</v>
      </c>
      <c r="AV13" s="323"/>
      <c r="AW13" s="323"/>
      <c r="AX13" s="323"/>
      <c r="AY13" s="323"/>
      <c r="AZ13" s="323"/>
      <c r="BA13" s="323"/>
      <c r="BB13" s="323"/>
      <c r="BC13" s="323"/>
      <c r="BD13" s="323"/>
      <c r="BE13" s="9"/>
      <c r="BF13" s="9"/>
      <c r="BG13" s="9"/>
      <c r="BH13" s="9"/>
      <c r="BI13" s="9"/>
      <c r="BJ13" s="9"/>
      <c r="BK13" s="9"/>
    </row>
    <row r="14" spans="1:66" ht="30" customHeight="1" x14ac:dyDescent="0.25">
      <c r="A14" s="9"/>
      <c r="B14" s="231" t="s">
        <v>64</v>
      </c>
      <c r="C14" s="232"/>
      <c r="D14" s="433"/>
      <c r="E14" s="433"/>
      <c r="F14" s="433"/>
      <c r="G14" s="433"/>
      <c r="H14" s="433"/>
      <c r="I14" s="433"/>
      <c r="J14" s="433"/>
      <c r="K14" s="433"/>
      <c r="L14" s="433"/>
      <c r="M14" s="433"/>
      <c r="N14" s="433"/>
      <c r="O14" s="433"/>
      <c r="P14" s="433"/>
      <c r="Q14" s="433"/>
      <c r="R14" s="433"/>
      <c r="S14" s="433"/>
      <c r="T14" s="433"/>
      <c r="U14" s="433"/>
      <c r="V14" s="433"/>
      <c r="W14" s="433"/>
      <c r="X14" s="433"/>
      <c r="Z14" s="245"/>
      <c r="AA14" s="246"/>
      <c r="AB14" s="246"/>
      <c r="AC14" s="246"/>
      <c r="AD14" s="246"/>
      <c r="AE14" s="246"/>
      <c r="AF14" s="246"/>
      <c r="AG14" s="246"/>
      <c r="AH14" s="246"/>
      <c r="AI14" s="246"/>
      <c r="AJ14" s="246"/>
      <c r="AK14" s="246"/>
      <c r="AL14" s="246"/>
      <c r="AM14" s="246"/>
      <c r="AN14" s="246"/>
      <c r="AO14" s="246"/>
      <c r="AP14" s="246"/>
      <c r="AQ14" s="246"/>
      <c r="AR14" s="247"/>
      <c r="AU14" s="323"/>
      <c r="AV14" s="323"/>
      <c r="AW14" s="323"/>
      <c r="AX14" s="323"/>
      <c r="AY14" s="323"/>
      <c r="AZ14" s="323"/>
      <c r="BA14" s="323"/>
      <c r="BB14" s="323"/>
      <c r="BC14" s="323"/>
      <c r="BD14" s="323"/>
      <c r="BE14" s="207"/>
      <c r="BF14" s="207"/>
      <c r="BG14" s="207"/>
      <c r="BH14" s="207"/>
      <c r="BI14" s="207"/>
      <c r="BJ14" s="207"/>
      <c r="BK14" s="207"/>
      <c r="BL14" s="207"/>
      <c r="BM14" s="207"/>
      <c r="BN14" s="207"/>
    </row>
    <row r="15" spans="1:66" ht="15.75" customHeight="1" x14ac:dyDescent="0.25">
      <c r="A15" s="9"/>
      <c r="B15" s="9"/>
      <c r="C15" s="9"/>
      <c r="D15" s="9"/>
      <c r="E15" s="9"/>
      <c r="F15" s="9"/>
      <c r="G15" s="9"/>
      <c r="H15" s="85"/>
      <c r="I15" s="85"/>
      <c r="J15" s="85"/>
      <c r="K15" s="85"/>
      <c r="L15" s="85"/>
      <c r="M15" s="83"/>
      <c r="N15" s="9"/>
      <c r="O15" s="9"/>
      <c r="P15" s="9"/>
      <c r="Q15" s="9"/>
      <c r="R15" s="9"/>
      <c r="S15" s="9"/>
      <c r="T15" s="9"/>
      <c r="U15" s="9"/>
      <c r="V15" s="9"/>
      <c r="W15" s="9"/>
      <c r="X15" s="9"/>
      <c r="Y15" s="9"/>
      <c r="Z15" s="9"/>
      <c r="AA15" s="9"/>
      <c r="AB15" s="9"/>
      <c r="AD15" s="89"/>
      <c r="AU15" s="323"/>
      <c r="AV15" s="323"/>
      <c r="AW15" s="323"/>
      <c r="AX15" s="323"/>
      <c r="AY15" s="323"/>
      <c r="AZ15" s="323"/>
      <c r="BA15" s="323"/>
      <c r="BB15" s="323"/>
      <c r="BC15" s="323"/>
      <c r="BD15" s="323"/>
      <c r="BE15" s="207"/>
      <c r="BF15" s="207"/>
      <c r="BG15" s="207"/>
      <c r="BH15" s="207"/>
      <c r="BI15" s="207"/>
      <c r="BJ15" s="207"/>
      <c r="BK15" s="207"/>
      <c r="BL15" s="207"/>
      <c r="BM15" s="207"/>
      <c r="BN15" s="207"/>
    </row>
    <row r="16" spans="1:66" ht="28.5" customHeight="1" x14ac:dyDescent="0.25">
      <c r="A16" s="9"/>
      <c r="B16" s="9"/>
      <c r="C16" s="87" t="s">
        <v>61</v>
      </c>
      <c r="D16" s="87" t="s">
        <v>62</v>
      </c>
      <c r="E16" s="9"/>
      <c r="F16" s="9"/>
      <c r="G16" s="9"/>
      <c r="H16" s="85"/>
      <c r="I16" s="85"/>
      <c r="J16" s="85"/>
      <c r="K16" s="85"/>
      <c r="L16" s="85"/>
      <c r="M16" s="83"/>
      <c r="N16" s="9"/>
      <c r="O16" s="9"/>
      <c r="P16" s="9"/>
      <c r="Q16" s="9"/>
      <c r="R16" s="9"/>
      <c r="S16" s="9"/>
      <c r="T16" s="9"/>
      <c r="U16" s="9"/>
      <c r="V16" s="9"/>
      <c r="W16" s="9"/>
      <c r="X16" s="9"/>
      <c r="Y16" s="9"/>
      <c r="Z16" s="9"/>
      <c r="AA16" s="9"/>
      <c r="AB16" s="9"/>
      <c r="AC16" s="89"/>
      <c r="AD16" s="89"/>
      <c r="AE16" s="89"/>
      <c r="AF16" s="89"/>
      <c r="AG16" s="89"/>
      <c r="AH16" s="89"/>
      <c r="AI16" s="89"/>
      <c r="AJ16" s="89"/>
      <c r="AK16" s="89"/>
      <c r="AL16" s="89"/>
      <c r="AM16" s="89"/>
      <c r="AN16" s="89"/>
      <c r="AO16" s="89"/>
      <c r="AP16" s="89"/>
      <c r="AQ16" s="89"/>
      <c r="AR16" s="89"/>
      <c r="AS16" s="89"/>
      <c r="AT16" s="89"/>
      <c r="AU16" s="323"/>
      <c r="AV16" s="323"/>
      <c r="AW16" s="323"/>
      <c r="AX16" s="323"/>
      <c r="AY16" s="323"/>
      <c r="AZ16" s="323"/>
      <c r="BA16" s="323"/>
      <c r="BB16" s="323"/>
      <c r="BC16" s="323"/>
      <c r="BD16" s="323"/>
      <c r="BE16" s="207"/>
      <c r="BF16" s="207"/>
      <c r="BG16" s="207"/>
      <c r="BH16" s="207"/>
      <c r="BI16" s="207"/>
      <c r="BJ16" s="207"/>
      <c r="BK16" s="207"/>
      <c r="BL16" s="207"/>
      <c r="BM16" s="207"/>
      <c r="BN16" s="207"/>
    </row>
    <row r="17" spans="1:63" ht="28.5" customHeight="1" x14ac:dyDescent="0.25">
      <c r="A17" s="9"/>
      <c r="B17" s="2" t="s">
        <v>63</v>
      </c>
      <c r="C17" s="32"/>
      <c r="D17" s="32"/>
      <c r="E17" s="9"/>
      <c r="F17" s="9"/>
      <c r="G17" s="9"/>
      <c r="H17" s="85"/>
      <c r="I17" s="85"/>
      <c r="J17" s="85"/>
      <c r="K17" s="85"/>
      <c r="L17" s="85"/>
      <c r="M17" s="83"/>
      <c r="N17" s="9"/>
      <c r="O17" s="9"/>
      <c r="P17" s="9"/>
      <c r="Q17" s="9"/>
      <c r="R17" s="9"/>
      <c r="S17" s="9"/>
      <c r="T17" s="9"/>
      <c r="U17" s="9"/>
      <c r="V17" s="9"/>
      <c r="W17" s="9"/>
      <c r="X17" s="9"/>
      <c r="Y17" s="9"/>
      <c r="Z17" s="9"/>
      <c r="AA17" s="9"/>
      <c r="AB17" s="9"/>
      <c r="AC17" s="9"/>
      <c r="AD17" s="9"/>
      <c r="AE17" s="9"/>
      <c r="AF17" s="9"/>
      <c r="AG17" s="9"/>
      <c r="AH17" s="9"/>
      <c r="AI17" s="79"/>
      <c r="AJ17" s="79"/>
      <c r="AK17" s="50"/>
      <c r="AL17" s="9"/>
      <c r="AM17" s="9"/>
      <c r="AN17" s="9"/>
      <c r="AO17" s="9"/>
      <c r="AP17" s="9"/>
      <c r="AQ17" s="9"/>
      <c r="AR17" s="9"/>
      <c r="AS17" s="9"/>
      <c r="AT17" s="9"/>
      <c r="AU17" s="9"/>
      <c r="AV17" s="9"/>
      <c r="AW17" s="9"/>
      <c r="AX17" s="9"/>
      <c r="AY17" s="9"/>
      <c r="AZ17" s="9"/>
      <c r="BA17" s="9"/>
      <c r="BB17" s="9"/>
      <c r="BC17" s="9"/>
      <c r="BD17" s="9"/>
      <c r="BE17" s="9"/>
      <c r="BF17" s="9"/>
      <c r="BG17" s="9"/>
      <c r="BH17" s="9"/>
      <c r="BI17" s="9"/>
      <c r="BJ17" s="9"/>
      <c r="BK17" s="9"/>
    </row>
    <row r="18" spans="1:63" ht="28.5" customHeight="1" thickBot="1" x14ac:dyDescent="0.3">
      <c r="A18" s="9"/>
      <c r="B18" s="9"/>
      <c r="C18" s="9"/>
      <c r="D18" s="9"/>
      <c r="E18" s="9"/>
      <c r="F18" s="9"/>
      <c r="G18" s="9"/>
      <c r="H18" s="85"/>
      <c r="I18" s="85"/>
      <c r="J18" s="85"/>
      <c r="K18" s="85"/>
      <c r="L18" s="85"/>
      <c r="M18" s="83"/>
      <c r="N18" s="9"/>
      <c r="O18" s="9"/>
      <c r="P18" s="9"/>
      <c r="Q18" s="9"/>
      <c r="R18" s="9"/>
      <c r="S18" s="9"/>
      <c r="T18" s="9"/>
      <c r="U18" s="9"/>
      <c r="V18" s="9"/>
      <c r="W18" s="9"/>
      <c r="X18" s="9"/>
      <c r="Y18" s="9"/>
      <c r="Z18" s="9"/>
      <c r="AA18" s="9"/>
      <c r="AB18" s="9"/>
      <c r="AC18" s="9"/>
      <c r="AD18" s="9"/>
      <c r="AE18" s="9"/>
      <c r="AF18" s="9"/>
      <c r="AG18" s="9"/>
      <c r="AH18" s="9"/>
      <c r="AJ18" s="86"/>
      <c r="AK18" s="50"/>
      <c r="AL18" s="9"/>
      <c r="AM18" s="9"/>
      <c r="AN18" s="9"/>
      <c r="AO18" s="9"/>
      <c r="AP18" s="9"/>
      <c r="AQ18" s="9"/>
      <c r="AR18" s="9"/>
      <c r="AS18" s="9"/>
      <c r="AT18" s="9"/>
      <c r="AU18" s="337" t="s">
        <v>134</v>
      </c>
      <c r="AV18" s="337"/>
      <c r="AW18" s="337"/>
      <c r="AX18" s="337"/>
      <c r="AY18" s="337"/>
      <c r="AZ18" s="9"/>
      <c r="BA18" s="337" t="s">
        <v>31</v>
      </c>
      <c r="BB18" s="337"/>
      <c r="BC18" s="337"/>
      <c r="BD18" s="337"/>
      <c r="BE18" s="337"/>
      <c r="BF18" s="9"/>
      <c r="BG18" s="9"/>
      <c r="BH18" s="9"/>
      <c r="BI18" s="9"/>
      <c r="BJ18" s="9"/>
      <c r="BK18" s="9"/>
    </row>
    <row r="19" spans="1:63" ht="36.75" customHeight="1" thickTop="1" x14ac:dyDescent="0.25">
      <c r="A19" s="9"/>
      <c r="B19" s="2" t="s">
        <v>7</v>
      </c>
      <c r="C19" s="32"/>
      <c r="D19" s="9"/>
      <c r="E19" s="9"/>
      <c r="F19" s="9"/>
      <c r="G19" s="9"/>
      <c r="H19" s="13"/>
      <c r="I19" s="13"/>
      <c r="J19" s="13"/>
      <c r="K19" s="13"/>
      <c r="L19" s="13"/>
      <c r="M19" s="14"/>
      <c r="N19" s="325">
        <f>+IF(OR(AI27="FALTAN DATOS",AI29="FALTAN DATOS",AI31="FALTAN DATOS",AI33="FALTAN DATOS",AI35="FALTAN DATOS",AI37="FALTAN DATOS",AI39="FALTAN DATOS",AI41="FALTAN DATOS",AI43="FALTAN DATOS",AI45="FALTAN DATOS",AI47="FALTAN DATOS",AI49="FALTAN DATOS",AI51="FALTAN DATOS",AI53="FALTAN DATOS",AI55="FALTAN DATOS",AI57="FALTAN DATOS"),"FALTAN DATOS",SUM(AJ27:AJ58))</f>
        <v>0</v>
      </c>
      <c r="O19" s="326"/>
      <c r="P19" s="9"/>
      <c r="Q19" s="9"/>
      <c r="R19" s="324" t="s">
        <v>8</v>
      </c>
      <c r="S19" s="324"/>
      <c r="T19" s="324"/>
      <c r="U19" s="18"/>
      <c r="V19" s="18"/>
      <c r="W19" s="331">
        <f>+IF(N19="FALTAN DATOS","FALTAN DATOS",N19*1000)</f>
        <v>0</v>
      </c>
      <c r="X19" s="332"/>
      <c r="Y19" s="19"/>
      <c r="Z19" s="19"/>
      <c r="AA19" s="19"/>
      <c r="AB19" s="19"/>
      <c r="AC19" s="20"/>
      <c r="AD19" s="20"/>
      <c r="AE19" s="9"/>
      <c r="AF19" s="9"/>
      <c r="AG19" s="9"/>
      <c r="AH19" s="9"/>
      <c r="AI19" s="9"/>
      <c r="AJ19" s="9"/>
      <c r="AK19" s="83"/>
      <c r="AL19" s="9"/>
      <c r="AM19" s="9"/>
      <c r="AN19" s="9"/>
      <c r="AO19" s="9"/>
      <c r="AP19" s="9"/>
      <c r="AQ19" s="9"/>
      <c r="AR19" s="9"/>
      <c r="AS19" s="9"/>
      <c r="AT19" s="9"/>
      <c r="AU19" s="9"/>
      <c r="AV19" s="9"/>
      <c r="AW19" s="9"/>
      <c r="AX19" s="9"/>
      <c r="AY19" s="9"/>
      <c r="AZ19" s="9"/>
      <c r="BA19" s="9"/>
      <c r="BB19" s="9"/>
      <c r="BC19" s="9"/>
      <c r="BD19" s="9"/>
      <c r="BE19" s="9"/>
      <c r="BF19" s="9"/>
      <c r="BG19" s="9"/>
      <c r="BH19" s="9"/>
      <c r="BI19" s="9"/>
      <c r="BJ19" s="9"/>
      <c r="BK19" s="9"/>
    </row>
    <row r="20" spans="1:63" ht="36" customHeight="1" x14ac:dyDescent="0.25">
      <c r="A20" s="9"/>
      <c r="B20" s="2" t="s">
        <v>5</v>
      </c>
      <c r="C20" s="3">
        <f>+IF(C19=0,0,IF(C19&lt;1,4,IF(C19&lt;2,6,IF(C19&lt;4,10,IF(C19&lt;8,16,"EXCEDE CAPACIDADES")))))</f>
        <v>0</v>
      </c>
      <c r="D20" s="9"/>
      <c r="E20" s="9"/>
      <c r="F20" s="9"/>
      <c r="G20" s="9"/>
      <c r="H20" s="13"/>
      <c r="I20" s="13"/>
      <c r="J20" s="13"/>
      <c r="K20" s="13"/>
      <c r="L20" s="13"/>
      <c r="M20" s="14"/>
      <c r="N20" s="327"/>
      <c r="O20" s="328"/>
      <c r="P20" s="9"/>
      <c r="Q20" s="9"/>
      <c r="R20" s="324"/>
      <c r="S20" s="324"/>
      <c r="T20" s="324"/>
      <c r="U20" s="18"/>
      <c r="V20" s="18"/>
      <c r="W20" s="333"/>
      <c r="X20" s="334"/>
      <c r="Y20" s="19"/>
      <c r="Z20" s="19"/>
      <c r="AA20" s="19"/>
      <c r="AB20" s="19"/>
      <c r="AC20" s="20"/>
      <c r="AD20" s="20"/>
      <c r="AE20" s="9"/>
      <c r="AF20" s="9"/>
      <c r="AG20" s="9"/>
      <c r="AH20" s="9"/>
      <c r="AI20" s="9"/>
      <c r="AJ20" s="9"/>
      <c r="AK20" s="83"/>
      <c r="AL20" s="9"/>
      <c r="AM20" s="9"/>
      <c r="AN20" s="9"/>
      <c r="AO20" s="9"/>
      <c r="AP20" s="9"/>
      <c r="AQ20" s="9"/>
      <c r="AR20" s="9"/>
      <c r="AS20" s="9"/>
      <c r="AT20" s="9"/>
      <c r="AU20" s="9"/>
      <c r="AV20" s="9"/>
      <c r="AW20" s="9"/>
      <c r="AX20" s="9"/>
      <c r="AY20" s="9"/>
      <c r="AZ20" s="9"/>
      <c r="BA20" s="9"/>
      <c r="BB20" s="9"/>
      <c r="BC20" s="9"/>
      <c r="BD20" s="9"/>
      <c r="BE20" s="9"/>
      <c r="BF20" s="9"/>
      <c r="BG20" s="9"/>
      <c r="BH20" s="9"/>
      <c r="BI20" s="9"/>
      <c r="BJ20" s="9"/>
      <c r="BK20" s="9"/>
    </row>
    <row r="21" spans="1:63" ht="27" thickBot="1" x14ac:dyDescent="0.3">
      <c r="A21" s="9"/>
      <c r="B21" s="2" t="s">
        <v>6</v>
      </c>
      <c r="C21" s="3">
        <f>IF(ISNUMBER(C20),IF(C20=0,0,+C19/C20),"NO APLICA")</f>
        <v>0</v>
      </c>
      <c r="D21" s="9"/>
      <c r="E21" s="9"/>
      <c r="F21" s="9"/>
      <c r="G21" s="9"/>
      <c r="H21" s="13"/>
      <c r="I21" s="13"/>
      <c r="J21" s="13"/>
      <c r="K21" s="13"/>
      <c r="L21" s="13"/>
      <c r="M21" s="14"/>
      <c r="N21" s="329"/>
      <c r="O21" s="330"/>
      <c r="P21" s="9"/>
      <c r="Q21" s="9"/>
      <c r="R21" s="324"/>
      <c r="S21" s="324"/>
      <c r="T21" s="324"/>
      <c r="U21" s="18"/>
      <c r="V21" s="18"/>
      <c r="W21" s="335"/>
      <c r="X21" s="336"/>
      <c r="Y21" s="19"/>
      <c r="Z21" s="19"/>
      <c r="AA21" s="19"/>
      <c r="AB21" s="19"/>
      <c r="AC21" s="20"/>
      <c r="AD21" s="20"/>
      <c r="AE21" s="9"/>
      <c r="AF21" s="9"/>
      <c r="AG21" s="9"/>
      <c r="AH21" s="9"/>
      <c r="AI21" s="9"/>
      <c r="AJ21" s="9"/>
      <c r="AK21" s="83"/>
      <c r="AL21" s="9"/>
      <c r="AM21" s="9"/>
      <c r="AN21" s="9"/>
      <c r="AO21" s="9"/>
      <c r="AP21" s="9"/>
      <c r="AQ21" s="9"/>
      <c r="AR21" s="9"/>
      <c r="AS21" s="9"/>
      <c r="AT21" s="9"/>
      <c r="AU21" s="9"/>
      <c r="AV21" s="9"/>
      <c r="AW21" s="9"/>
      <c r="AX21" s="9"/>
      <c r="AY21" s="9"/>
      <c r="AZ21" s="9"/>
      <c r="BA21" s="9"/>
      <c r="BB21" s="9"/>
      <c r="BC21" s="9"/>
      <c r="BD21" s="9"/>
      <c r="BE21" s="9"/>
      <c r="BF21" s="9"/>
      <c r="BG21" s="9"/>
      <c r="BH21" s="9"/>
      <c r="BI21" s="9"/>
      <c r="BJ21" s="9"/>
      <c r="BK21" s="9"/>
    </row>
    <row r="22" spans="1:63" ht="6" customHeight="1" thickTop="1" x14ac:dyDescent="0.25">
      <c r="A22" s="9"/>
      <c r="B22" s="9"/>
      <c r="C22" s="9"/>
      <c r="D22" s="9"/>
      <c r="E22" s="9"/>
      <c r="F22" s="9"/>
      <c r="G22" s="9"/>
      <c r="H22" s="85"/>
      <c r="I22" s="85"/>
      <c r="J22" s="85"/>
      <c r="K22" s="85"/>
      <c r="L22" s="85"/>
      <c r="M22" s="83"/>
      <c r="N22" s="9"/>
      <c r="O22" s="9"/>
      <c r="P22" s="9"/>
      <c r="Q22" s="9"/>
      <c r="R22" s="9"/>
      <c r="S22" s="9"/>
      <c r="T22" s="9"/>
      <c r="U22" s="9"/>
      <c r="V22" s="9"/>
      <c r="W22" s="9"/>
      <c r="X22" s="9"/>
      <c r="Y22" s="9"/>
      <c r="Z22" s="9"/>
      <c r="AA22" s="9"/>
      <c r="AB22" s="9"/>
      <c r="AC22" s="9"/>
      <c r="AD22" s="9"/>
      <c r="AE22" s="9"/>
      <c r="AF22" s="9"/>
      <c r="AG22" s="9"/>
      <c r="AH22" s="9"/>
      <c r="AI22" s="9"/>
      <c r="AJ22" s="9"/>
      <c r="AK22" s="83"/>
      <c r="AL22" s="9"/>
      <c r="AM22" s="9"/>
      <c r="AN22" s="9"/>
      <c r="AO22" s="9"/>
      <c r="AP22" s="9"/>
      <c r="AQ22" s="9"/>
      <c r="AR22" s="9"/>
      <c r="AS22" s="9"/>
      <c r="AT22" s="9"/>
      <c r="AU22" s="9"/>
      <c r="AV22" s="9"/>
      <c r="AW22" s="9"/>
      <c r="AX22" s="9"/>
      <c r="AY22" s="9"/>
      <c r="AZ22" s="9"/>
      <c r="BA22" s="9"/>
      <c r="BB22" s="9"/>
      <c r="BC22" s="9"/>
      <c r="BD22" s="9"/>
      <c r="BE22" s="9"/>
      <c r="BF22" s="9"/>
      <c r="BG22" s="9"/>
      <c r="BH22" s="9"/>
      <c r="BI22" s="9"/>
      <c r="BJ22" s="9"/>
      <c r="BK22" s="9"/>
    </row>
    <row r="23" spans="1:63" ht="33" customHeight="1" x14ac:dyDescent="0.25">
      <c r="A23" s="9"/>
      <c r="B23" s="10"/>
      <c r="C23" s="10"/>
      <c r="D23" s="10"/>
      <c r="E23" s="10"/>
      <c r="F23" s="10"/>
      <c r="G23" s="10"/>
      <c r="H23" s="82"/>
      <c r="I23" s="82"/>
      <c r="J23" s="82"/>
      <c r="K23" s="82"/>
      <c r="L23" s="82"/>
      <c r="M23" s="84"/>
      <c r="N23" s="305" t="s">
        <v>35</v>
      </c>
      <c r="O23" s="305"/>
      <c r="P23" s="305"/>
      <c r="Q23" s="16"/>
      <c r="R23" s="305" t="s">
        <v>36</v>
      </c>
      <c r="S23" s="305"/>
      <c r="T23" s="305"/>
      <c r="U23" s="16"/>
      <c r="V23" s="16"/>
      <c r="W23" s="306" t="s">
        <v>10</v>
      </c>
      <c r="X23" s="306"/>
      <c r="Y23" s="306"/>
      <c r="Z23" s="306"/>
      <c r="AA23" s="306"/>
      <c r="AB23" s="306"/>
      <c r="AC23" s="306"/>
      <c r="AD23" s="306"/>
      <c r="AE23" s="306"/>
      <c r="AF23" s="306" t="s">
        <v>25</v>
      </c>
      <c r="AG23" s="306"/>
      <c r="AH23" s="306"/>
      <c r="AI23" s="223" t="s">
        <v>11</v>
      </c>
      <c r="AJ23" s="305" t="s">
        <v>12</v>
      </c>
      <c r="AK23" s="16"/>
      <c r="AL23" s="9"/>
      <c r="AM23" s="9"/>
      <c r="AN23" s="9"/>
      <c r="AO23" s="9"/>
      <c r="AP23" s="9"/>
      <c r="AQ23" s="9"/>
      <c r="AR23" s="9"/>
      <c r="AS23" s="9"/>
      <c r="AT23" s="9"/>
      <c r="AU23" s="9"/>
      <c r="AV23" s="9"/>
      <c r="AW23" s="9"/>
      <c r="AX23" s="9"/>
      <c r="AY23" s="9"/>
      <c r="AZ23" s="9"/>
      <c r="BA23" s="9"/>
      <c r="BB23" s="9"/>
      <c r="BC23" s="9"/>
      <c r="BD23" s="9"/>
      <c r="BE23" s="9"/>
      <c r="BF23" s="9"/>
      <c r="BG23" s="9"/>
      <c r="BH23" s="9"/>
      <c r="BI23" s="9"/>
      <c r="BJ23" s="9"/>
      <c r="BK23" s="9"/>
    </row>
    <row r="24" spans="1:63" s="4" customFormat="1" ht="51" customHeight="1" x14ac:dyDescent="0.25">
      <c r="A24" s="11"/>
      <c r="B24" s="92" t="s">
        <v>0</v>
      </c>
      <c r="C24" s="92" t="s">
        <v>76</v>
      </c>
      <c r="D24" s="92" t="s">
        <v>33</v>
      </c>
      <c r="E24" s="92" t="s">
        <v>77</v>
      </c>
      <c r="F24" s="92" t="s">
        <v>39</v>
      </c>
      <c r="G24" s="92" t="s">
        <v>73</v>
      </c>
      <c r="H24" s="15" t="s">
        <v>13</v>
      </c>
      <c r="I24" s="15" t="s">
        <v>14</v>
      </c>
      <c r="J24" s="15" t="s">
        <v>15</v>
      </c>
      <c r="K24" s="15" t="s">
        <v>13</v>
      </c>
      <c r="L24" s="15" t="s">
        <v>14</v>
      </c>
      <c r="M24" s="15"/>
      <c r="N24" s="80" t="s">
        <v>2</v>
      </c>
      <c r="O24" s="80" t="s">
        <v>3</v>
      </c>
      <c r="P24" s="80" t="s">
        <v>4</v>
      </c>
      <c r="Q24" s="16"/>
      <c r="R24" s="80" t="s">
        <v>2</v>
      </c>
      <c r="S24" s="80" t="s">
        <v>3</v>
      </c>
      <c r="T24" s="80" t="s">
        <v>4</v>
      </c>
      <c r="U24" s="16"/>
      <c r="V24" s="16"/>
      <c r="W24" s="81" t="s">
        <v>16</v>
      </c>
      <c r="X24" s="81" t="s">
        <v>17</v>
      </c>
      <c r="Y24" s="81" t="s">
        <v>18</v>
      </c>
      <c r="Z24" s="81" t="s">
        <v>19</v>
      </c>
      <c r="AA24" s="81" t="s">
        <v>20</v>
      </c>
      <c r="AB24" s="81" t="s">
        <v>21</v>
      </c>
      <c r="AC24" s="81" t="s">
        <v>22</v>
      </c>
      <c r="AD24" s="81" t="s">
        <v>23</v>
      </c>
      <c r="AE24" s="81" t="s">
        <v>24</v>
      </c>
      <c r="AF24" s="80" t="s">
        <v>2</v>
      </c>
      <c r="AG24" s="80" t="s">
        <v>3</v>
      </c>
      <c r="AH24" s="80" t="s">
        <v>4</v>
      </c>
      <c r="AI24" s="224"/>
      <c r="AJ24" s="305"/>
      <c r="AK24" s="16"/>
      <c r="AL24" s="75" t="s">
        <v>47</v>
      </c>
      <c r="AM24" s="75" t="s">
        <v>49</v>
      </c>
      <c r="AN24" s="75" t="s">
        <v>50</v>
      </c>
      <c r="AO24" s="75" t="s">
        <v>51</v>
      </c>
      <c r="AP24" s="75" t="s">
        <v>48</v>
      </c>
      <c r="AQ24" s="46"/>
      <c r="AR24" s="338" t="s">
        <v>55</v>
      </c>
      <c r="AS24" s="339"/>
      <c r="AT24" s="339"/>
      <c r="AU24" s="339"/>
      <c r="AV24" s="339"/>
      <c r="AW24" s="339"/>
      <c r="AX24" s="339"/>
      <c r="AY24" s="339"/>
      <c r="AZ24" s="339"/>
      <c r="BA24" s="339"/>
      <c r="BB24" s="339"/>
      <c r="BC24" s="339"/>
      <c r="BD24" s="339"/>
      <c r="BE24" s="339"/>
      <c r="BF24" s="339"/>
      <c r="BG24" s="339"/>
      <c r="BH24" s="340"/>
      <c r="BI24" s="11"/>
      <c r="BJ24" s="11"/>
      <c r="BK24" s="11"/>
    </row>
    <row r="25" spans="1:63" s="4" customFormat="1" ht="15" customHeight="1" x14ac:dyDescent="0.25">
      <c r="A25" s="11"/>
      <c r="B25" s="223" t="s">
        <v>1</v>
      </c>
      <c r="C25" s="309">
        <v>0</v>
      </c>
      <c r="D25" s="311">
        <v>0</v>
      </c>
      <c r="E25" s="219"/>
      <c r="F25" s="225" t="s">
        <v>9</v>
      </c>
      <c r="G25" s="225" t="s">
        <v>9</v>
      </c>
      <c r="H25" s="273">
        <f t="shared" ref="H25" si="0">+IF(C25="NO APLICA","",MAX(E$25:E$60))</f>
        <v>0</v>
      </c>
      <c r="I25" s="273">
        <f>+IF(C25="NO APLICA","",H25-E25)</f>
        <v>0</v>
      </c>
      <c r="J25" s="17">
        <f>+IF(D25="NO APLICA","",D25)</f>
        <v>0</v>
      </c>
      <c r="K25" s="17">
        <f>+H25</f>
        <v>0</v>
      </c>
      <c r="L25" s="17">
        <f>+I25</f>
        <v>0</v>
      </c>
      <c r="M25" s="211"/>
      <c r="N25" s="304" t="s">
        <v>9</v>
      </c>
      <c r="O25" s="304" t="s">
        <v>9</v>
      </c>
      <c r="P25" s="304" t="s">
        <v>9</v>
      </c>
      <c r="Q25" s="16"/>
      <c r="R25" s="304" t="s">
        <v>9</v>
      </c>
      <c r="S25" s="304" t="s">
        <v>9</v>
      </c>
      <c r="T25" s="304" t="s">
        <v>9</v>
      </c>
      <c r="U25" s="16"/>
      <c r="V25" s="16"/>
      <c r="W25" s="298" t="s">
        <v>9</v>
      </c>
      <c r="X25" s="298" t="s">
        <v>9</v>
      </c>
      <c r="Y25" s="298" t="s">
        <v>9</v>
      </c>
      <c r="Z25" s="298" t="s">
        <v>9</v>
      </c>
      <c r="AA25" s="298" t="s">
        <v>9</v>
      </c>
      <c r="AB25" s="298" t="s">
        <v>9</v>
      </c>
      <c r="AC25" s="298" t="s">
        <v>9</v>
      </c>
      <c r="AD25" s="298" t="s">
        <v>9</v>
      </c>
      <c r="AE25" s="298" t="s">
        <v>9</v>
      </c>
      <c r="AF25" s="300" t="s">
        <v>9</v>
      </c>
      <c r="AG25" s="300" t="s">
        <v>9</v>
      </c>
      <c r="AH25" s="300" t="s">
        <v>9</v>
      </c>
      <c r="AI25" s="301" t="s">
        <v>9</v>
      </c>
      <c r="AJ25" s="297" t="s">
        <v>9</v>
      </c>
      <c r="AK25" s="51"/>
      <c r="AL25" s="53" t="s">
        <v>46</v>
      </c>
      <c r="AM25" s="59">
        <f>+MAX(E25:E60)-E25</f>
        <v>0</v>
      </c>
      <c r="AN25" s="60">
        <v>0</v>
      </c>
      <c r="AO25" s="60">
        <v>0</v>
      </c>
      <c r="AP25" s="58" t="str">
        <f>+B25</f>
        <v>Inicial</v>
      </c>
      <c r="AQ25" s="46"/>
      <c r="AR25" s="40" t="s">
        <v>56</v>
      </c>
      <c r="AS25" s="41" t="str">
        <f>+B27</f>
        <v>S/N</v>
      </c>
      <c r="AT25" s="42" t="str">
        <f>+B29</f>
        <v>S/N</v>
      </c>
      <c r="AU25" s="42" t="str">
        <f>+B31</f>
        <v>S/N</v>
      </c>
      <c r="AV25" s="42" t="str">
        <f>+B33</f>
        <v>S/N</v>
      </c>
      <c r="AW25" s="42" t="str">
        <f>+B35</f>
        <v>S/N</v>
      </c>
      <c r="AX25" s="42" t="str">
        <f>+B37</f>
        <v>S/N</v>
      </c>
      <c r="AY25" s="42" t="str">
        <f>+B39</f>
        <v>S/N</v>
      </c>
      <c r="AZ25" s="42" t="str">
        <f>+B41</f>
        <v>S/N</v>
      </c>
      <c r="BA25" s="42" t="str">
        <f>+B43</f>
        <v>S/N</v>
      </c>
      <c r="BB25" s="42" t="str">
        <f>+B45</f>
        <v>S/N</v>
      </c>
      <c r="BC25" s="42" t="str">
        <f>+B47</f>
        <v>S/N</v>
      </c>
      <c r="BD25" s="42" t="str">
        <f>+B49</f>
        <v>S/N</v>
      </c>
      <c r="BE25" s="42" t="str">
        <f>+B51</f>
        <v>S/N</v>
      </c>
      <c r="BF25" s="42" t="str">
        <f>+B53</f>
        <v>S/N</v>
      </c>
      <c r="BG25" s="42" t="str">
        <f>+B55</f>
        <v>S/N</v>
      </c>
      <c r="BH25" s="43" t="str">
        <f>+B57</f>
        <v>S/N</v>
      </c>
      <c r="BI25" s="11"/>
      <c r="BJ25" s="11"/>
      <c r="BK25" s="11"/>
    </row>
    <row r="26" spans="1:63" s="4" customFormat="1" ht="15" customHeight="1" thickBot="1" x14ac:dyDescent="0.3">
      <c r="A26" s="11"/>
      <c r="B26" s="224"/>
      <c r="C26" s="310"/>
      <c r="D26" s="312"/>
      <c r="E26" s="220"/>
      <c r="F26" s="225"/>
      <c r="G26" s="225"/>
      <c r="H26" s="273"/>
      <c r="I26" s="273"/>
      <c r="J26" s="17" t="str">
        <f>+IF(D27="NO APLICA","",D27)</f>
        <v/>
      </c>
      <c r="K26" s="17" t="str">
        <f>+H27</f>
        <v/>
      </c>
      <c r="L26" s="17" t="str">
        <f>+I27</f>
        <v/>
      </c>
      <c r="M26" s="211"/>
      <c r="N26" s="304"/>
      <c r="O26" s="304"/>
      <c r="P26" s="304"/>
      <c r="Q26" s="16"/>
      <c r="R26" s="304"/>
      <c r="S26" s="304"/>
      <c r="T26" s="304"/>
      <c r="U26" s="16"/>
      <c r="V26" s="16"/>
      <c r="W26" s="299"/>
      <c r="X26" s="299"/>
      <c r="Y26" s="299"/>
      <c r="Z26" s="299"/>
      <c r="AA26" s="299"/>
      <c r="AB26" s="299"/>
      <c r="AC26" s="299"/>
      <c r="AD26" s="299"/>
      <c r="AE26" s="299"/>
      <c r="AF26" s="300"/>
      <c r="AG26" s="300"/>
      <c r="AH26" s="300"/>
      <c r="AI26" s="302"/>
      <c r="AJ26" s="297"/>
      <c r="AK26" s="52"/>
      <c r="AL26" s="54" t="s">
        <v>41</v>
      </c>
      <c r="AM26" s="61" t="str">
        <f>+IF(O27="NO APLICA","",MAX(E25:E60))</f>
        <v/>
      </c>
      <c r="AN26" s="62" t="str">
        <f>+IF(AN27="",IF(AN28="","",AN28),AN27)</f>
        <v/>
      </c>
      <c r="AO26" s="62" t="str">
        <f>+IF(AO27="",IF(AO28="","",AO28*1.25),AO27*1.15)</f>
        <v/>
      </c>
      <c r="AP26" s="63" t="str">
        <f>+B27</f>
        <v>S/N</v>
      </c>
      <c r="AQ26" s="47"/>
      <c r="AR26" s="341" t="s">
        <v>54</v>
      </c>
      <c r="AS26" s="343" t="str">
        <f>+AF27</f>
        <v>NO APLICA</v>
      </c>
      <c r="AT26" s="313" t="str">
        <f>+AF29</f>
        <v>NO APLICA</v>
      </c>
      <c r="AU26" s="313" t="str">
        <f>+AF31</f>
        <v>NO APLICA</v>
      </c>
      <c r="AV26" s="313" t="str">
        <f>+AF33</f>
        <v>NO APLICA</v>
      </c>
      <c r="AW26" s="313" t="str">
        <f>+AF35</f>
        <v>NO APLICA</v>
      </c>
      <c r="AX26" s="313" t="str">
        <f>+AF37</f>
        <v>NO APLICA</v>
      </c>
      <c r="AY26" s="313" t="str">
        <f>+AF39</f>
        <v>NO APLICA</v>
      </c>
      <c r="AZ26" s="313" t="str">
        <f>+AF41</f>
        <v>NO APLICA</v>
      </c>
      <c r="BA26" s="313" t="str">
        <f>+AF43</f>
        <v>NO APLICA</v>
      </c>
      <c r="BB26" s="313" t="str">
        <f>+AF45</f>
        <v>NO APLICA</v>
      </c>
      <c r="BC26" s="313" t="str">
        <f>+AF47</f>
        <v>NO APLICA</v>
      </c>
      <c r="BD26" s="313" t="str">
        <f>+AF49</f>
        <v>NO APLICA</v>
      </c>
      <c r="BE26" s="313" t="str">
        <f>+AF51</f>
        <v>NO APLICA</v>
      </c>
      <c r="BF26" s="313" t="str">
        <f>+AF53</f>
        <v>NO APLICA</v>
      </c>
      <c r="BG26" s="313" t="str">
        <f>+AF55</f>
        <v>NO APLICA</v>
      </c>
      <c r="BH26" s="315" t="str">
        <f>+AF57</f>
        <v>NO APLICA</v>
      </c>
      <c r="BI26" s="11"/>
      <c r="BJ26" s="11"/>
      <c r="BK26" s="11"/>
    </row>
    <row r="27" spans="1:63" ht="15" customHeight="1" x14ac:dyDescent="0.25">
      <c r="A27" s="9"/>
      <c r="B27" s="267" t="str">
        <f>+IF(C27="NO APLICA","S/N",1)</f>
        <v>S/N</v>
      </c>
      <c r="C27" s="269" t="str">
        <f>+IF(AND(C20&gt;0,ISNUMBER(C20)),C21/2,"NO APLICA")</f>
        <v>NO APLICA</v>
      </c>
      <c r="D27" s="271" t="str">
        <f>IF(C27="NO APLICA","NO APLICA",ROUND(C27,2))</f>
        <v>NO APLICA</v>
      </c>
      <c r="E27" s="219"/>
      <c r="F27" s="159" t="str">
        <f>+IF(C27="NO APLICA","NO APLICA",IF(E27=E25,E27*D27,IF(E27&gt;E25,E25*D27+(((E27-E25))*D27/2),IF(E27&lt;E25,(E27*D27)+(((E25-E27))*D27/2)))))</f>
        <v>NO APLICA</v>
      </c>
      <c r="G27" s="225" t="str">
        <f>+IF(F28="NO APLICA","NO APLICA",F27+F28)</f>
        <v>NO APLICA</v>
      </c>
      <c r="H27" s="273" t="str">
        <f t="shared" ref="H27" si="1">+IF(C27="NO APLICA","",MAX(E$25:E$60))</f>
        <v/>
      </c>
      <c r="I27" s="273" t="str">
        <f t="shared" ref="I27" si="2">+IF(C27="NO APLICA","",H27-E27)</f>
        <v/>
      </c>
      <c r="J27" s="23" t="str">
        <f>+IF(D29="NO APLICA","",(D27+D29)/2)</f>
        <v/>
      </c>
      <c r="K27" s="23" t="str">
        <f>+IF(K26=K28,K26,"")</f>
        <v/>
      </c>
      <c r="L27" s="23" t="str">
        <f>+IF(L28="","",(L26+L28)/2)</f>
        <v/>
      </c>
      <c r="M27" s="214"/>
      <c r="N27" s="287" t="str">
        <f>+IF(F28="NO APLICA","NO APLICA",IF(E27&gt;0.2,E27*0.2,"NO APLICA"))</f>
        <v>NO APLICA</v>
      </c>
      <c r="O27" s="287" t="str">
        <f>+IF(F28="NO APLICA","NO APLICA",IF(E27&gt;0,E27*0.6,"NO APLICA"))</f>
        <v>NO APLICA</v>
      </c>
      <c r="P27" s="287" t="str">
        <f>+IF(F28="NO APLICA","NO APLICA",IF(E27&gt;0.5,E27*0.8,"NO APLICA"))</f>
        <v>NO APLICA</v>
      </c>
      <c r="Q27" s="26"/>
      <c r="R27" s="288" t="str">
        <f>+IF(F28="NO APLICA","NO APLICA",IF(E27&gt;0.2,E27*0.8,"NO APLICA"))</f>
        <v>NO APLICA</v>
      </c>
      <c r="S27" s="288" t="str">
        <f>+IF(F28="NO APLICA","NO APLICA",IF(E27&gt;0,E27*0.4,"NO APLICA"))</f>
        <v>NO APLICA</v>
      </c>
      <c r="T27" s="288" t="str">
        <f>+IF(F28="NO APLICA","NO APLICA",IF(E27&gt;0.5,E27*0.2,"NO APLICA"))</f>
        <v>NO APLICA</v>
      </c>
      <c r="U27" s="84"/>
      <c r="V27" s="84"/>
      <c r="W27" s="292"/>
      <c r="X27" s="293"/>
      <c r="Y27" s="294"/>
      <c r="Z27" s="292"/>
      <c r="AA27" s="293"/>
      <c r="AB27" s="294"/>
      <c r="AC27" s="295"/>
      <c r="AD27" s="296"/>
      <c r="AE27" s="303"/>
      <c r="AF27" s="277" t="str">
        <f>+IF(OR(ISNUMBER(W27),ISNUMBER(X27),ISNUMBER(Y27)),AVERAGE(W27:Y28),"NO APLICA")</f>
        <v>NO APLICA</v>
      </c>
      <c r="AG27" s="278" t="str">
        <f>+IF(OR(ISNUMBER(Z27),ISNUMBER(AA27),ISNUMBER(AB27)),AVERAGE(Z27:AB28),"NO APLICA")</f>
        <v>NO APLICA</v>
      </c>
      <c r="AH27" s="278" t="str">
        <f>+IF(OR(ISNUMBER(AC27),ISNUMBER(AD27),ISNUMBER(AE27)),AVERAGE(AC27:AE28),"NO APLICA")</f>
        <v>NO APLICA</v>
      </c>
      <c r="AI27" s="279" t="str">
        <f>IF(F28="NO APLICA","NO APLICA",IF(E27&gt;0.5,IF(OR(ISTEXT(AF27),ISTEXT(AG27),ISTEXT(AH27)),"FALTAN DATOS",(AF27+2*AG27+AH27)/4),IF(E27&gt;0.2,IF(OR(ISTEXT(AF27),ISTEXT(AG27)),"FALTAN DATOS",(AF27+AG27)/2),IF(E27&gt;0,IF(ISTEXT(AG27),"FALTAN DATOS",AG27),"NO APLICA"))))</f>
        <v>NO APLICA</v>
      </c>
      <c r="AJ27" s="266" t="str">
        <f>+IF(OR(AI27="FALTAN DATOS",AI27="NO APLICA"),"NO APLICA",AI27*G27)</f>
        <v>NO APLICA</v>
      </c>
      <c r="AK27" s="49"/>
      <c r="AL27" s="55" t="s">
        <v>42</v>
      </c>
      <c r="AM27" s="65" t="str">
        <f>+IF(N27="NO APLICA","",MAX(E25:E60)-E27*0.2)</f>
        <v/>
      </c>
      <c r="AN27" s="66" t="str">
        <f>+IF(N27="NO APLICA","",D27)</f>
        <v/>
      </c>
      <c r="AO27" s="66" t="str">
        <f>+IF(N27="NO APLICA","",AF27)</f>
        <v/>
      </c>
      <c r="AP27" s="67" t="str">
        <f>+B27</f>
        <v>S/N</v>
      </c>
      <c r="AQ27" s="47"/>
      <c r="AR27" s="341"/>
      <c r="AS27" s="342"/>
      <c r="AT27" s="314"/>
      <c r="AU27" s="314"/>
      <c r="AV27" s="314"/>
      <c r="AW27" s="314"/>
      <c r="AX27" s="314"/>
      <c r="AY27" s="314"/>
      <c r="AZ27" s="314"/>
      <c r="BA27" s="314"/>
      <c r="BB27" s="314"/>
      <c r="BC27" s="314"/>
      <c r="BD27" s="314"/>
      <c r="BE27" s="314"/>
      <c r="BF27" s="314"/>
      <c r="BG27" s="314"/>
      <c r="BH27" s="316"/>
      <c r="BI27" s="9"/>
      <c r="BJ27" s="9"/>
      <c r="BK27" s="9"/>
    </row>
    <row r="28" spans="1:63" ht="15" customHeight="1" x14ac:dyDescent="0.25">
      <c r="A28" s="9"/>
      <c r="B28" s="268"/>
      <c r="C28" s="270"/>
      <c r="D28" s="272"/>
      <c r="E28" s="220"/>
      <c r="F28" s="159" t="str">
        <f>+IF(C29="NO APLICA","NO APLICA",IF(E29=E27,E29*(D29-D27)/2,IF(E29&gt;E27,(E27*(D29-D27)/2)+(((E29-E27)/2)*(D29-D27)/4),IF(E29&lt;E27,(E27-((E27-E29)/2))*(D29-D27)/2+(((E27-E29)/2)*(D29-D27)/4)))))</f>
        <v>NO APLICA</v>
      </c>
      <c r="G28" s="225"/>
      <c r="H28" s="273"/>
      <c r="I28" s="273"/>
      <c r="J28" s="17" t="str">
        <f>+IF(D29="NO APLICA","",D29)</f>
        <v/>
      </c>
      <c r="K28" s="17" t="str">
        <f>+H29</f>
        <v/>
      </c>
      <c r="L28" s="17" t="str">
        <f>+I29</f>
        <v/>
      </c>
      <c r="M28" s="214"/>
      <c r="N28" s="287"/>
      <c r="O28" s="287"/>
      <c r="P28" s="287"/>
      <c r="Q28" s="26"/>
      <c r="R28" s="288"/>
      <c r="S28" s="288"/>
      <c r="T28" s="288"/>
      <c r="U28" s="84"/>
      <c r="V28" s="84"/>
      <c r="W28" s="290"/>
      <c r="X28" s="291"/>
      <c r="Y28" s="289"/>
      <c r="Z28" s="290"/>
      <c r="AA28" s="291"/>
      <c r="AB28" s="289"/>
      <c r="AC28" s="286"/>
      <c r="AD28" s="220"/>
      <c r="AE28" s="285"/>
      <c r="AF28" s="277"/>
      <c r="AG28" s="278"/>
      <c r="AH28" s="278"/>
      <c r="AI28" s="280"/>
      <c r="AJ28" s="266"/>
      <c r="AK28" s="49"/>
      <c r="AL28" s="55" t="s">
        <v>43</v>
      </c>
      <c r="AM28" s="65" t="str">
        <f>+IF(O27="NO APLICA","",MAX(E25:E60)-E27*0.6)</f>
        <v/>
      </c>
      <c r="AN28" s="66" t="str">
        <f>+IF(O27="NO APLICA","",D27)</f>
        <v/>
      </c>
      <c r="AO28" s="66" t="str">
        <f>+IF(O27="NO APLICA","",AG27)</f>
        <v/>
      </c>
      <c r="AP28" s="67" t="str">
        <f>+B27</f>
        <v>S/N</v>
      </c>
      <c r="AQ28" s="47"/>
      <c r="AR28" s="341"/>
      <c r="AS28" s="342"/>
      <c r="AT28" s="314"/>
      <c r="AU28" s="314"/>
      <c r="AV28" s="314"/>
      <c r="AW28" s="314"/>
      <c r="AX28" s="314"/>
      <c r="AY28" s="314"/>
      <c r="AZ28" s="314"/>
      <c r="BA28" s="314"/>
      <c r="BB28" s="314"/>
      <c r="BC28" s="314"/>
      <c r="BD28" s="314"/>
      <c r="BE28" s="314"/>
      <c r="BF28" s="314"/>
      <c r="BG28" s="314"/>
      <c r="BH28" s="316"/>
      <c r="BI28" s="9"/>
      <c r="BJ28" s="9"/>
      <c r="BK28" s="9"/>
    </row>
    <row r="29" spans="1:63" ht="15" customHeight="1" x14ac:dyDescent="0.25">
      <c r="A29" s="9"/>
      <c r="B29" s="267" t="str">
        <f>+IF(C29="NO APLICA","S/N",2)</f>
        <v>S/N</v>
      </c>
      <c r="C29" s="269" t="str">
        <f>+IF(C20&gt;0,C21,"NO APLICA")</f>
        <v>NO APLICA</v>
      </c>
      <c r="D29" s="271" t="str">
        <f>IF(C29="NO APLICA","NO APLICA",ROUND(C27+C29,2))</f>
        <v>NO APLICA</v>
      </c>
      <c r="E29" s="219"/>
      <c r="F29" s="159" t="str">
        <f>+IF(C29="NO APLICA","NO APLICA",IF(E29=E27,E29*(D29-D27)/2,IF(E29&gt;E27,(E29-((E29-E27)/2))*(D29-D27)/2+(((E29-E27)/2)*(D29-D27)/4),IF(E29&lt;E27,(E29*(D29-D27)/2)+(((E27-E29)/2)*(D29-D27)/4)))))</f>
        <v>NO APLICA</v>
      </c>
      <c r="G29" s="225" t="str">
        <f t="shared" ref="G29" si="3">+IF(F30="NO APLICA","NO APLICA",F29+F30)</f>
        <v>NO APLICA</v>
      </c>
      <c r="H29" s="273" t="str">
        <f t="shared" ref="H29" si="4">+IF(C29="NO APLICA","",MAX(E$25:E$60))</f>
        <v/>
      </c>
      <c r="I29" s="273" t="str">
        <f t="shared" ref="I29" si="5">+IF(C29="NO APLICA","",H29-E29)</f>
        <v/>
      </c>
      <c r="J29" s="23" t="str">
        <f>+IF(D31="NO APLICA","",(D29+D31)/2)</f>
        <v/>
      </c>
      <c r="K29" s="23" t="str">
        <f>+IF(K28=K30,K28,"")</f>
        <v/>
      </c>
      <c r="L29" s="23" t="str">
        <f>+IF(L30="","",(L28+L30)/2)</f>
        <v/>
      </c>
      <c r="M29" s="214"/>
      <c r="N29" s="287" t="str">
        <f>+IF(F30="NO APLICA","NO APLICA",IF(E29&gt;0.2,E29*0.2,"NO APLICA"))</f>
        <v>NO APLICA</v>
      </c>
      <c r="O29" s="287" t="str">
        <f>+IF(F30="NO APLICA","NO APLICA",IF(E29&gt;0,E29*0.6,"NO APLICA"))</f>
        <v>NO APLICA</v>
      </c>
      <c r="P29" s="287" t="str">
        <f>+IF(F30="NO APLICA","NO APLICA",IF(E29&gt;0.5,E29*0.8,"NO APLICA"))</f>
        <v>NO APLICA</v>
      </c>
      <c r="Q29" s="26"/>
      <c r="R29" s="288" t="str">
        <f>+IF(F30="NO APLICA","NO APLICA",IF(E29&gt;0.2,E29*0.8,"NO APLICA"))</f>
        <v>NO APLICA</v>
      </c>
      <c r="S29" s="288" t="str">
        <f>+IF(F30="NO APLICA","NO APLICA",IF(E29&gt;0,E29*0.4,"NO APLICA"))</f>
        <v>NO APLICA</v>
      </c>
      <c r="T29" s="288" t="str">
        <f>+IF(F30="NO APLICA","NO APLICA",IF(E29&gt;0.5,E29*0.2,"NO APLICA"))</f>
        <v>NO APLICA</v>
      </c>
      <c r="U29" s="84"/>
      <c r="V29" s="84"/>
      <c r="W29" s="290"/>
      <c r="X29" s="291"/>
      <c r="Y29" s="289"/>
      <c r="Z29" s="290"/>
      <c r="AA29" s="291"/>
      <c r="AB29" s="289"/>
      <c r="AC29" s="283"/>
      <c r="AD29" s="219"/>
      <c r="AE29" s="275"/>
      <c r="AF29" s="277" t="str">
        <f t="shared" ref="AF29" si="6">+IF(OR(ISNUMBER(W29),ISNUMBER(X29),ISNUMBER(Y29)),AVERAGE(W29:Y30),"NO APLICA")</f>
        <v>NO APLICA</v>
      </c>
      <c r="AG29" s="278" t="str">
        <f t="shared" ref="AG29" si="7">+IF(OR(ISNUMBER(Z29),ISNUMBER(AA29),ISNUMBER(AB29)),AVERAGE(Z29:AB30),"NO APLICA")</f>
        <v>NO APLICA</v>
      </c>
      <c r="AH29" s="278" t="str">
        <f t="shared" ref="AH29" si="8">+IF(OR(ISNUMBER(AC29),ISNUMBER(AD29),ISNUMBER(AE29)),AVERAGE(AC29:AE30),"NO APLICA")</f>
        <v>NO APLICA</v>
      </c>
      <c r="AI29" s="279" t="str">
        <f t="shared" ref="AI29" si="9">IF(F30="NO APLICA","NO APLICA",IF(E29&gt;0.5,IF(OR(ISTEXT(AF29),ISTEXT(AG29),ISTEXT(AH29)),"FALTAN DATOS",(AF29+2*AG29+AH29)/4),IF(E29&gt;0.2,IF(OR(ISTEXT(AF29),ISTEXT(AG29)),"FALTAN DATOS",(AF29+AG29)/2),IF(E29&gt;0,IF(ISTEXT(AG29),"FALTAN DATOS",AG29),"NO APLICA"))))</f>
        <v>NO APLICA</v>
      </c>
      <c r="AJ29" s="266" t="str">
        <f t="shared" ref="AJ29" si="10">+IF(OR(AI29="FALTAN DATOS",AI29="NO APLICA"),"NO APLICA",AI29*G29)</f>
        <v>NO APLICA</v>
      </c>
      <c r="AK29" s="49"/>
      <c r="AL29" s="55" t="s">
        <v>44</v>
      </c>
      <c r="AM29" s="65" t="str">
        <f>+IF(P27="NO APLICA","",MAX(E25:E60)-E27*0.8)</f>
        <v/>
      </c>
      <c r="AN29" s="66" t="str">
        <f>+IF(P27="NO APLICA","",D27)</f>
        <v/>
      </c>
      <c r="AO29" s="66" t="str">
        <f>+IF(P27="NO APLICA","",AH27)</f>
        <v/>
      </c>
      <c r="AP29" s="67" t="str">
        <f>+B27</f>
        <v>S/N</v>
      </c>
      <c r="AQ29" s="47"/>
      <c r="AR29" s="341"/>
      <c r="AS29" s="342"/>
      <c r="AT29" s="314"/>
      <c r="AU29" s="314"/>
      <c r="AV29" s="314"/>
      <c r="AW29" s="314"/>
      <c r="AX29" s="314"/>
      <c r="AY29" s="314"/>
      <c r="AZ29" s="314"/>
      <c r="BA29" s="314"/>
      <c r="BB29" s="314"/>
      <c r="BC29" s="314"/>
      <c r="BD29" s="314"/>
      <c r="BE29" s="314"/>
      <c r="BF29" s="314"/>
      <c r="BG29" s="314"/>
      <c r="BH29" s="316"/>
      <c r="BI29" s="9"/>
      <c r="BJ29" s="9"/>
      <c r="BK29" s="9"/>
    </row>
    <row r="30" spans="1:63" ht="15" customHeight="1" x14ac:dyDescent="0.25">
      <c r="A30" s="9"/>
      <c r="B30" s="268"/>
      <c r="C30" s="270"/>
      <c r="D30" s="272"/>
      <c r="E30" s="220"/>
      <c r="F30" s="159" t="str">
        <f>+IF(C31="NO APLICA","NO APLICA",IF(C29=C31,IF(E31=E29,E31*(D31-D29)/2,IF(E31&gt;E29,(E29*(D31-D29)/2)+(((E31-E29)/2)*(D31-D29)/4),IF(E31&lt;E29,(E29-((E29-E31)/2))*(D31-D29)/2+(((E29-E31)/2)*(D31-D29)/4)))),IF(E31=E29,E31*2*(D31-D29)/2,IF(E31&gt;E29,E29*2*(D31-D29)/2+(((E31-E29))*2*(D31-D29)/4),IF(E31&lt;E29,E31*2*(D31-D29)/2+(((E29-E31))*2*(D31-D29)/4))))))</f>
        <v>NO APLICA</v>
      </c>
      <c r="G30" s="225"/>
      <c r="H30" s="273"/>
      <c r="I30" s="273"/>
      <c r="J30" s="17" t="str">
        <f>+IF(D31="NO APLICA","",D31)</f>
        <v/>
      </c>
      <c r="K30" s="17" t="str">
        <f>+H31</f>
        <v/>
      </c>
      <c r="L30" s="17" t="str">
        <f>+I31</f>
        <v/>
      </c>
      <c r="M30" s="214"/>
      <c r="N30" s="287"/>
      <c r="O30" s="287"/>
      <c r="P30" s="287"/>
      <c r="Q30" s="26"/>
      <c r="R30" s="288"/>
      <c r="S30" s="288"/>
      <c r="T30" s="288"/>
      <c r="U30" s="84"/>
      <c r="V30" s="84"/>
      <c r="W30" s="290"/>
      <c r="X30" s="291"/>
      <c r="Y30" s="289"/>
      <c r="Z30" s="290"/>
      <c r="AA30" s="291"/>
      <c r="AB30" s="289"/>
      <c r="AC30" s="286"/>
      <c r="AD30" s="220"/>
      <c r="AE30" s="285"/>
      <c r="AF30" s="277"/>
      <c r="AG30" s="278"/>
      <c r="AH30" s="278"/>
      <c r="AI30" s="280"/>
      <c r="AJ30" s="266"/>
      <c r="AK30" s="49"/>
      <c r="AL30" s="55" t="s">
        <v>52</v>
      </c>
      <c r="AM30" s="68" t="str">
        <f>+IF(AM29="",IF(AM28="","",(AM26-AM31)*0.1+AM31),(AM26-AM31)*0.1+AM31)</f>
        <v/>
      </c>
      <c r="AN30" s="68" t="str">
        <f>+IF(AN29="",IF(AN28="","",AN28),AN29)</f>
        <v/>
      </c>
      <c r="AO30" s="68" t="str">
        <f>+IF(AO29="",IF(AO28="","",AO28*0.75),AO29*0.85)</f>
        <v/>
      </c>
      <c r="AP30" s="64" t="str">
        <f>+B27</f>
        <v>S/N</v>
      </c>
      <c r="AQ30" s="48"/>
      <c r="AR30" s="341" t="s">
        <v>53</v>
      </c>
      <c r="AS30" s="342" t="str">
        <f>+AG27</f>
        <v>NO APLICA</v>
      </c>
      <c r="AT30" s="314" t="str">
        <f>+AG29</f>
        <v>NO APLICA</v>
      </c>
      <c r="AU30" s="314" t="str">
        <f>+AG31</f>
        <v>NO APLICA</v>
      </c>
      <c r="AV30" s="314" t="str">
        <f>+AG33</f>
        <v>NO APLICA</v>
      </c>
      <c r="AW30" s="314" t="str">
        <f>+AG35</f>
        <v>NO APLICA</v>
      </c>
      <c r="AX30" s="314" t="str">
        <f>+AG37</f>
        <v>NO APLICA</v>
      </c>
      <c r="AY30" s="314" t="str">
        <f>+AG39</f>
        <v>NO APLICA</v>
      </c>
      <c r="AZ30" s="314" t="str">
        <f>+AG41</f>
        <v>NO APLICA</v>
      </c>
      <c r="BA30" s="314" t="str">
        <f>+AG43</f>
        <v>NO APLICA</v>
      </c>
      <c r="BB30" s="314" t="str">
        <f>+AG45</f>
        <v>NO APLICA</v>
      </c>
      <c r="BC30" s="314" t="str">
        <f>+AG47</f>
        <v>NO APLICA</v>
      </c>
      <c r="BD30" s="314" t="str">
        <f>+AG49</f>
        <v>NO APLICA</v>
      </c>
      <c r="BE30" s="314" t="str">
        <f>+AG51</f>
        <v>NO APLICA</v>
      </c>
      <c r="BF30" s="314" t="str">
        <f>+AG53</f>
        <v>NO APLICA</v>
      </c>
      <c r="BG30" s="314" t="str">
        <f>+AG55</f>
        <v>NO APLICA</v>
      </c>
      <c r="BH30" s="316" t="str">
        <f>+AG57</f>
        <v>NO APLICA</v>
      </c>
      <c r="BI30" s="9"/>
      <c r="BJ30" s="9"/>
      <c r="BK30" s="9"/>
    </row>
    <row r="31" spans="1:63" ht="15" customHeight="1" x14ac:dyDescent="0.25">
      <c r="A31" s="9"/>
      <c r="B31" s="267" t="str">
        <f>+IF(C31="NO APLICA","S/N",3)</f>
        <v>S/N</v>
      </c>
      <c r="C31" s="269" t="str">
        <f>+IF(C20&gt;0,C21,"NO APLICA")</f>
        <v>NO APLICA</v>
      </c>
      <c r="D31" s="271" t="str">
        <f>IF(C31="NO APLICA","NO APLICA",ROUND(C27+C29+C31,2))</f>
        <v>NO APLICA</v>
      </c>
      <c r="E31" s="219"/>
      <c r="F31" s="159" t="str">
        <f>+IF(C31="NO APLICA","NO APLICA",IF(E31=E29,E31*(D31-D29)/2,IF(E31&gt;E29,(E31-((E31-E29)/2))*(D31-D29)/2+(((E31-E29)/2)*(D31-D29)/4),IF(E31&lt;E29,(E31*(D31-D29)/2)+(((E29-E31)/2)*(D31-D29)/4)))))</f>
        <v>NO APLICA</v>
      </c>
      <c r="G31" s="225" t="str">
        <f t="shared" ref="G31" si="11">+IF(F32="NO APLICA","NO APLICA",F31+F32)</f>
        <v>NO APLICA</v>
      </c>
      <c r="H31" s="273" t="str">
        <f t="shared" ref="H31" si="12">+IF(C31="NO APLICA","",MAX(E$25:E$60))</f>
        <v/>
      </c>
      <c r="I31" s="273" t="str">
        <f t="shared" ref="I31" si="13">+IF(C31="NO APLICA","",H31-E31)</f>
        <v/>
      </c>
      <c r="J31" s="23" t="str">
        <f>+IF(D33="NO APLICA","",(D31+D33)/2)</f>
        <v/>
      </c>
      <c r="K31" s="23" t="str">
        <f>+IF(K30=K32,K30,"")</f>
        <v/>
      </c>
      <c r="L31" s="23" t="str">
        <f>+IF(L32="","",(L30+L32)/2)</f>
        <v/>
      </c>
      <c r="M31" s="214"/>
      <c r="N31" s="287" t="str">
        <f>+IF(F32="NO APLICA","NO APLICA",IF(E31&gt;0.2,E31*0.2,"NO APLICA"))</f>
        <v>NO APLICA</v>
      </c>
      <c r="O31" s="287" t="str">
        <f>+IF(F32="NO APLICA","NO APLICA",IF(E31&gt;0,E31*0.6,"NO APLICA"))</f>
        <v>NO APLICA</v>
      </c>
      <c r="P31" s="287" t="str">
        <f>+IF(F32="NO APLICA","NO APLICA",IF(E31&gt;0.5,E31*0.8,"NO APLICA"))</f>
        <v>NO APLICA</v>
      </c>
      <c r="Q31" s="26"/>
      <c r="R31" s="288" t="str">
        <f>+IF(F32="NO APLICA","NO APLICA",IF(E31&gt;0.2,E31*0.8,"NO APLICA"))</f>
        <v>NO APLICA</v>
      </c>
      <c r="S31" s="288" t="str">
        <f>+IF(F32="NO APLICA","NO APLICA",IF(E31&gt;0,E31*0.4,"NO APLICA"))</f>
        <v>NO APLICA</v>
      </c>
      <c r="T31" s="288" t="str">
        <f>+IF(F32="NO APLICA","NO APLICA",IF(E31&gt;0.5,E31*0.2,"NO APLICA"))</f>
        <v>NO APLICA</v>
      </c>
      <c r="U31" s="84"/>
      <c r="V31" s="84"/>
      <c r="W31" s="290"/>
      <c r="X31" s="291"/>
      <c r="Y31" s="289"/>
      <c r="Z31" s="290"/>
      <c r="AA31" s="291"/>
      <c r="AB31" s="289"/>
      <c r="AC31" s="283"/>
      <c r="AD31" s="219"/>
      <c r="AE31" s="275"/>
      <c r="AF31" s="277" t="str">
        <f t="shared" ref="AF31" si="14">+IF(OR(ISNUMBER(W31),ISNUMBER(X31),ISNUMBER(Y31)),AVERAGE(W31:Y32),"NO APLICA")</f>
        <v>NO APLICA</v>
      </c>
      <c r="AG31" s="278" t="str">
        <f t="shared" ref="AG31" si="15">+IF(OR(ISNUMBER(Z31),ISNUMBER(AA31),ISNUMBER(AB31)),AVERAGE(Z31:AB32),"NO APLICA")</f>
        <v>NO APLICA</v>
      </c>
      <c r="AH31" s="278" t="str">
        <f t="shared" ref="AH31" si="16">+IF(OR(ISNUMBER(AC31),ISNUMBER(AD31),ISNUMBER(AE31)),AVERAGE(AC31:AE32),"NO APLICA")</f>
        <v>NO APLICA</v>
      </c>
      <c r="AI31" s="279" t="str">
        <f t="shared" ref="AI31" si="17">IF(F32="NO APLICA","NO APLICA",IF(E31&gt;0.5,IF(OR(ISTEXT(AF31),ISTEXT(AG31),ISTEXT(AH31)),"FALTAN DATOS",(AF31+2*AG31+AH31)/4),IF(E31&gt;0.2,IF(OR(ISTEXT(AF31),ISTEXT(AG31)),"FALTAN DATOS",(AF31+AG31)/2),IF(E31&gt;0,IF(ISTEXT(AG31),"FALTAN DATOS",AG31),"NO APLICA"))))</f>
        <v>NO APLICA</v>
      </c>
      <c r="AJ31" s="266" t="str">
        <f t="shared" ref="AJ31" si="18">+IF(OR(AI31="FALTAN DATOS",AI31="NO APLICA"),"NO APLICA",AI31*G31)</f>
        <v>NO APLICA</v>
      </c>
      <c r="AK31" s="49"/>
      <c r="AL31" s="56" t="s">
        <v>45</v>
      </c>
      <c r="AM31" s="69" t="str">
        <f>+IF(O27="NO APLICA","",MAX(E25:E60)-E27)</f>
        <v/>
      </c>
      <c r="AN31" s="70" t="str">
        <f>+IF(O27="NO APLICA","",D27)</f>
        <v/>
      </c>
      <c r="AO31" s="70" t="str">
        <f>+IF(O27="NO APLICA","",0)</f>
        <v/>
      </c>
      <c r="AP31" s="71" t="str">
        <f>+B27</f>
        <v>S/N</v>
      </c>
      <c r="AQ31" s="47"/>
      <c r="AR31" s="341"/>
      <c r="AS31" s="342"/>
      <c r="AT31" s="314"/>
      <c r="AU31" s="314"/>
      <c r="AV31" s="314"/>
      <c r="AW31" s="314"/>
      <c r="AX31" s="314"/>
      <c r="AY31" s="314"/>
      <c r="AZ31" s="314"/>
      <c r="BA31" s="314"/>
      <c r="BB31" s="314"/>
      <c r="BC31" s="314"/>
      <c r="BD31" s="314"/>
      <c r="BE31" s="314"/>
      <c r="BF31" s="314"/>
      <c r="BG31" s="314"/>
      <c r="BH31" s="316"/>
      <c r="BI31" s="9"/>
      <c r="BJ31" s="9"/>
      <c r="BK31" s="9"/>
    </row>
    <row r="32" spans="1:63" ht="15" customHeight="1" x14ac:dyDescent="0.25">
      <c r="A32" s="9"/>
      <c r="B32" s="268"/>
      <c r="C32" s="270"/>
      <c r="D32" s="272"/>
      <c r="E32" s="220"/>
      <c r="F32" s="159" t="str">
        <f>+IF(C33="NO APLICA","NO APLICA",IF(C31=C33,IF(E33=E31,E33*(D33-D31)/2,IF(E33&gt;E31,(E31*(D33-D31)/2)+(((E33-E31)/2)*(D33-D31)/4),IF(E33&lt;E31,(E31-((E31-E33)/2))*(D33-D31)/2+(((E31-E33)/2)*(D33-D31)/4)))),IF(E33=E31,E33*2*(D33-D31)/2,IF(E33&gt;E31,E31*2*(D33-D31)/2+(((E33-E31))*2*(D33-D31)/4),IF(E33&lt;E31,E33*2*(D33-D31)/2+(((E31-E33))*2*(D33-D31)/4))))))</f>
        <v>NO APLICA</v>
      </c>
      <c r="G32" s="225"/>
      <c r="H32" s="273"/>
      <c r="I32" s="273"/>
      <c r="J32" s="17" t="str">
        <f>+IF(D33="NO APLICA","",D33)</f>
        <v/>
      </c>
      <c r="K32" s="17" t="str">
        <f>+H33</f>
        <v/>
      </c>
      <c r="L32" s="17" t="str">
        <f>+I33</f>
        <v/>
      </c>
      <c r="M32" s="214"/>
      <c r="N32" s="287"/>
      <c r="O32" s="287"/>
      <c r="P32" s="287"/>
      <c r="Q32" s="26"/>
      <c r="R32" s="288"/>
      <c r="S32" s="288"/>
      <c r="T32" s="288"/>
      <c r="U32" s="84"/>
      <c r="V32" s="84"/>
      <c r="W32" s="290"/>
      <c r="X32" s="291"/>
      <c r="Y32" s="289"/>
      <c r="Z32" s="290"/>
      <c r="AA32" s="291"/>
      <c r="AB32" s="289"/>
      <c r="AC32" s="286"/>
      <c r="AD32" s="220"/>
      <c r="AE32" s="285"/>
      <c r="AF32" s="277"/>
      <c r="AG32" s="278"/>
      <c r="AH32" s="278"/>
      <c r="AI32" s="280"/>
      <c r="AJ32" s="266"/>
      <c r="AK32" s="49"/>
      <c r="AL32" s="54" t="s">
        <v>41</v>
      </c>
      <c r="AM32" s="62" t="str">
        <f>+IF(O29="NO APLICA","",MAX(E25:E60))</f>
        <v/>
      </c>
      <c r="AN32" s="62" t="str">
        <f>+IF(AN33="",IF(AN34="","",AN34),AN33)</f>
        <v/>
      </c>
      <c r="AO32" s="62" t="str">
        <f>+IF(AO33="",IF(AO34="","",AO34*1.25),AO33*1.15)</f>
        <v/>
      </c>
      <c r="AP32" s="63" t="str">
        <f>+B29</f>
        <v>S/N</v>
      </c>
      <c r="AQ32" s="47"/>
      <c r="AR32" s="341"/>
      <c r="AS32" s="342"/>
      <c r="AT32" s="314"/>
      <c r="AU32" s="314"/>
      <c r="AV32" s="314"/>
      <c r="AW32" s="314"/>
      <c r="AX32" s="314"/>
      <c r="AY32" s="314"/>
      <c r="AZ32" s="314"/>
      <c r="BA32" s="314"/>
      <c r="BB32" s="314"/>
      <c r="BC32" s="314"/>
      <c r="BD32" s="314"/>
      <c r="BE32" s="314"/>
      <c r="BF32" s="314"/>
      <c r="BG32" s="314"/>
      <c r="BH32" s="316"/>
      <c r="BI32" s="9"/>
      <c r="BJ32" s="9"/>
      <c r="BK32" s="9"/>
    </row>
    <row r="33" spans="1:63" ht="15" customHeight="1" x14ac:dyDescent="0.25">
      <c r="A33" s="9"/>
      <c r="B33" s="267" t="str">
        <f>+IF(C33="NO APLICA","S/N",4)</f>
        <v>S/N</v>
      </c>
      <c r="C33" s="269" t="str">
        <f>+IF(C20&gt;0,C21,"NO APLICA")</f>
        <v>NO APLICA</v>
      </c>
      <c r="D33" s="271" t="str">
        <f>IF(C33="NO APLICA","NO APLICA",ROUND(C27+C29+C31+C33,2))</f>
        <v>NO APLICA</v>
      </c>
      <c r="E33" s="219"/>
      <c r="F33" s="159" t="str">
        <f>+IF(C33="NO APLICA","NO APLICA",IF(E33=E31,E33*(D33-D31)/2,IF(E33&gt;E31,(E33-((E33-E31)/2))*(D33-D31)/2+(((E33-E31)/2)*(D33-D31)/4),IF(E33&lt;E31,(E33*(D33-D31)/2)+(((E31-E33)/2)*(D33-D31)/4)))))</f>
        <v>NO APLICA</v>
      </c>
      <c r="G33" s="225" t="str">
        <f t="shared" ref="G33" si="19">+IF(F34="NO APLICA","NO APLICA",F33+F34)</f>
        <v>NO APLICA</v>
      </c>
      <c r="H33" s="273" t="str">
        <f t="shared" ref="H33" si="20">+IF(C33="NO APLICA","",MAX(E$25:E$60))</f>
        <v/>
      </c>
      <c r="I33" s="273" t="str">
        <f t="shared" ref="I33" si="21">+IF(C33="NO APLICA","",H33-E33)</f>
        <v/>
      </c>
      <c r="J33" s="23" t="str">
        <f>+IF(D35="NO APLICA","",IF(ROUND(D35-D33,1)=ROUND(D33-D31,1),(D33+D35)/2,D35))</f>
        <v/>
      </c>
      <c r="K33" s="23" t="str">
        <f>+IF(K32=K31,K32,"")</f>
        <v/>
      </c>
      <c r="L33" s="23" t="str">
        <f>+IF(C20=4,I35,IF(L34="","",(L32+L34)/2))</f>
        <v/>
      </c>
      <c r="M33" s="214"/>
      <c r="N33" s="287" t="str">
        <f>+IF(F34="NO APLICA","NO APLICA",IF(E33&gt;0.2,E33*0.2,"NO APLICA"))</f>
        <v>NO APLICA</v>
      </c>
      <c r="O33" s="287" t="str">
        <f>+IF(F34="NO APLICA","NO APLICA",IF(E33&gt;0,E33*0.6,"NO APLICA"))</f>
        <v>NO APLICA</v>
      </c>
      <c r="P33" s="287" t="str">
        <f>+IF(F34="NO APLICA","NO APLICA",IF(E33&gt;0.5,E33*0.8,"NO APLICA"))</f>
        <v>NO APLICA</v>
      </c>
      <c r="Q33" s="26"/>
      <c r="R33" s="288" t="str">
        <f>+IF(F34="NO APLICA","NO APLICA",IF(E33&gt;0.2,E33*0.8,"NO APLICA"))</f>
        <v>NO APLICA</v>
      </c>
      <c r="S33" s="288" t="str">
        <f>+IF(F34="NO APLICA","NO APLICA",IF(E33&gt;0,E33*0.4,"NO APLICA"))</f>
        <v>NO APLICA</v>
      </c>
      <c r="T33" s="288" t="str">
        <f>+IF(F34="NO APLICA","NO APLICA",IF(E33&gt;0.5,E33*0.2,"NO APLICA"))</f>
        <v>NO APLICA</v>
      </c>
      <c r="U33" s="84"/>
      <c r="V33" s="84"/>
      <c r="W33" s="290"/>
      <c r="X33" s="291"/>
      <c r="Y33" s="289"/>
      <c r="Z33" s="290"/>
      <c r="AA33" s="291"/>
      <c r="AB33" s="289"/>
      <c r="AC33" s="283"/>
      <c r="AD33" s="219"/>
      <c r="AE33" s="275"/>
      <c r="AF33" s="277" t="str">
        <f t="shared" ref="AF33" si="22">+IF(OR(ISNUMBER(W33),ISNUMBER(X33),ISNUMBER(Y33)),AVERAGE(W33:Y34),"NO APLICA")</f>
        <v>NO APLICA</v>
      </c>
      <c r="AG33" s="278" t="str">
        <f t="shared" ref="AG33" si="23">+IF(OR(ISNUMBER(Z33),ISNUMBER(AA33),ISNUMBER(AB33)),AVERAGE(Z33:AB34),"NO APLICA")</f>
        <v>NO APLICA</v>
      </c>
      <c r="AH33" s="278" t="str">
        <f t="shared" ref="AH33" si="24">+IF(OR(ISNUMBER(AC33),ISNUMBER(AD33),ISNUMBER(AE33)),AVERAGE(AC33:AE34),"NO APLICA")</f>
        <v>NO APLICA</v>
      </c>
      <c r="AI33" s="279" t="str">
        <f t="shared" ref="AI33" si="25">IF(F34="NO APLICA","NO APLICA",IF(E33&gt;0.5,IF(OR(ISTEXT(AF33),ISTEXT(AG33),ISTEXT(AH33)),"FALTAN DATOS",(AF33+2*AG33+AH33)/4),IF(E33&gt;0.2,IF(OR(ISTEXT(AF33),ISTEXT(AG33)),"FALTAN DATOS",(AF33+AG33)/2),IF(E33&gt;0,IF(ISTEXT(AG33),"FALTAN DATOS",AG33),"NO APLICA"))))</f>
        <v>NO APLICA</v>
      </c>
      <c r="AJ33" s="266" t="str">
        <f t="shared" ref="AJ33" si="26">+IF(OR(AI33="FALTAN DATOS",AI33="NO APLICA"),"NO APLICA",AI33*G33)</f>
        <v>NO APLICA</v>
      </c>
      <c r="AK33" s="49"/>
      <c r="AL33" s="55" t="s">
        <v>42</v>
      </c>
      <c r="AM33" s="66" t="str">
        <f>+IF(N29="NO APLICA","",MAX(E25:E60)-E29*0.2)</f>
        <v/>
      </c>
      <c r="AN33" s="66" t="str">
        <f>+IF(N29="NO APLICA","",D29)</f>
        <v/>
      </c>
      <c r="AO33" s="66" t="str">
        <f>+IF(N29="NO APLICA","",AF29)</f>
        <v/>
      </c>
      <c r="AP33" s="67" t="str">
        <f>+B29</f>
        <v>S/N</v>
      </c>
      <c r="AQ33" s="47"/>
      <c r="AR33" s="341"/>
      <c r="AS33" s="342"/>
      <c r="AT33" s="314"/>
      <c r="AU33" s="314"/>
      <c r="AV33" s="314"/>
      <c r="AW33" s="314"/>
      <c r="AX33" s="314"/>
      <c r="AY33" s="314"/>
      <c r="AZ33" s="314"/>
      <c r="BA33" s="314"/>
      <c r="BB33" s="314"/>
      <c r="BC33" s="314"/>
      <c r="BD33" s="314"/>
      <c r="BE33" s="314"/>
      <c r="BF33" s="314"/>
      <c r="BG33" s="314"/>
      <c r="BH33" s="316"/>
      <c r="BI33" s="9"/>
      <c r="BJ33" s="9"/>
      <c r="BK33" s="9"/>
    </row>
    <row r="34" spans="1:63" ht="15" customHeight="1" x14ac:dyDescent="0.25">
      <c r="A34" s="9"/>
      <c r="B34" s="268"/>
      <c r="C34" s="270"/>
      <c r="D34" s="272"/>
      <c r="E34" s="220"/>
      <c r="F34" s="159" t="str">
        <f>+IF(C35="NO APLICA","NO APLICA",IF(C33=C35,IF(E35=E33,E35*(D35-D33)/2,IF(E35&gt;E33,(E33*(D35-D33)/2)+(((E35-E33)/2)*(D35-D33)/4),IF(E35&lt;E33,(E33-((E33-E35)/2))*(D35-D33)/2+(((E33-E35)/2)*(D35-D33)/4)))),IF(E35=E33,E35*2*(D35-D33)/2,IF(E35&gt;E33,E33*2*(D35-D33)/2+(((E35-E33))*2*(D35-D33)/4),IF(E35&lt;E33,E35*2*(D35-D33)/2+(((E33-E35))*2*(D35-D33)/4))))))</f>
        <v>NO APLICA</v>
      </c>
      <c r="G34" s="225"/>
      <c r="H34" s="273"/>
      <c r="I34" s="273"/>
      <c r="J34" s="17" t="str">
        <f>+IF(D37="NO APLICA","",D35)</f>
        <v/>
      </c>
      <c r="K34" s="17" t="str">
        <f>IF(C37="NO APLICA","",H35)</f>
        <v/>
      </c>
      <c r="L34" s="17" t="str">
        <f>IF(C37="NO APLICA","",I35)</f>
        <v/>
      </c>
      <c r="M34" s="214"/>
      <c r="N34" s="287"/>
      <c r="O34" s="287"/>
      <c r="P34" s="287"/>
      <c r="Q34" s="26"/>
      <c r="R34" s="288"/>
      <c r="S34" s="288"/>
      <c r="T34" s="288"/>
      <c r="U34" s="84"/>
      <c r="V34" s="84"/>
      <c r="W34" s="290"/>
      <c r="X34" s="291"/>
      <c r="Y34" s="289"/>
      <c r="Z34" s="290"/>
      <c r="AA34" s="291"/>
      <c r="AB34" s="289"/>
      <c r="AC34" s="286"/>
      <c r="AD34" s="220"/>
      <c r="AE34" s="285"/>
      <c r="AF34" s="277"/>
      <c r="AG34" s="278"/>
      <c r="AH34" s="278"/>
      <c r="AI34" s="280"/>
      <c r="AJ34" s="266"/>
      <c r="AK34" s="49"/>
      <c r="AL34" s="55" t="s">
        <v>43</v>
      </c>
      <c r="AM34" s="66" t="str">
        <f>+IF(O29="NO APLICA","",MAX(E25:E60)-E29*0.6)</f>
        <v/>
      </c>
      <c r="AN34" s="66" t="str">
        <f>+IF(O29="NO APLICA","",D29)</f>
        <v/>
      </c>
      <c r="AO34" s="66" t="str">
        <f>+IF(O29="NO APLICA","",AG29)</f>
        <v/>
      </c>
      <c r="AP34" s="67" t="str">
        <f>+B29</f>
        <v>S/N</v>
      </c>
      <c r="AQ34" s="45"/>
      <c r="AR34" s="341">
        <v>0.8</v>
      </c>
      <c r="AS34" s="342" t="str">
        <f>+AH27</f>
        <v>NO APLICA</v>
      </c>
      <c r="AT34" s="314" t="str">
        <f>+AH29</f>
        <v>NO APLICA</v>
      </c>
      <c r="AU34" s="314" t="str">
        <f>+AH31</f>
        <v>NO APLICA</v>
      </c>
      <c r="AV34" s="314" t="str">
        <f>+AH33</f>
        <v>NO APLICA</v>
      </c>
      <c r="AW34" s="314" t="str">
        <f>+AH35</f>
        <v>NO APLICA</v>
      </c>
      <c r="AX34" s="314" t="str">
        <f>+AH37</f>
        <v>NO APLICA</v>
      </c>
      <c r="AY34" s="314" t="str">
        <f>+AH39</f>
        <v>NO APLICA</v>
      </c>
      <c r="AZ34" s="314" t="str">
        <f>+AH41</f>
        <v>NO APLICA</v>
      </c>
      <c r="BA34" s="314" t="str">
        <f>+AH43</f>
        <v>NO APLICA</v>
      </c>
      <c r="BB34" s="314" t="str">
        <f>+AH45</f>
        <v>NO APLICA</v>
      </c>
      <c r="BC34" s="314" t="str">
        <f>+AH47</f>
        <v>NO APLICA</v>
      </c>
      <c r="BD34" s="346" t="str">
        <f>+AH49</f>
        <v>NO APLICA</v>
      </c>
      <c r="BE34" s="314" t="str">
        <f>+AH51</f>
        <v>NO APLICA</v>
      </c>
      <c r="BF34" s="346" t="str">
        <f>+AH53</f>
        <v>NO APLICA</v>
      </c>
      <c r="BG34" s="346" t="str">
        <f>+AH55</f>
        <v>NO APLICA</v>
      </c>
      <c r="BH34" s="348" t="str">
        <f>+AH57</f>
        <v>NO APLICA</v>
      </c>
      <c r="BI34" s="9"/>
      <c r="BJ34" s="9"/>
      <c r="BK34" s="9"/>
    </row>
    <row r="35" spans="1:63" ht="15" customHeight="1" x14ac:dyDescent="0.25">
      <c r="A35" s="9"/>
      <c r="B35" s="267" t="str">
        <f>+IF(C35="NO APLICA","S/N",IF(C33&gt;C35,"Final",5))</f>
        <v>S/N</v>
      </c>
      <c r="C35" s="269" t="str">
        <f>+IF(C20=4,C21/2,IF(C20&gt;4,C21,"NO APLICA"))</f>
        <v>NO APLICA</v>
      </c>
      <c r="D35" s="271" t="str">
        <f>IF(C35="NO APLICA","NO APLICA",ROUND(C27+C29+C31+C33+C35,2))</f>
        <v>NO APLICA</v>
      </c>
      <c r="E35" s="219"/>
      <c r="F35" s="159" t="str">
        <f>+IF(C35="NO APLICA","NO APLICA",IF(E35=E33,E35*(D35-D33)/2,IF(E35&gt;E33,(E35-((E35-E33)/2))*(D35-D33)/2+(((E35-E33)/2)*(D35-D33)/4),IF(E35&lt;E33,(E35*(D35-D33)/2)+(((E33-E35)/2)*(D35-D33)/4)))))</f>
        <v>NO APLICA</v>
      </c>
      <c r="G35" s="225" t="str">
        <f t="shared" ref="G35" si="27">+IF(F36="NO APLICA","NO APLICA",F35+F36)</f>
        <v>NO APLICA</v>
      </c>
      <c r="H35" s="273" t="str">
        <f t="shared" ref="H35" si="28">+IF(C35="NO APLICA","",MAX(E$25:E$60))</f>
        <v/>
      </c>
      <c r="I35" s="273" t="str">
        <f t="shared" ref="I35" si="29">+IF(C35="NO APLICA","",H35-E35)</f>
        <v/>
      </c>
      <c r="J35" s="23" t="str">
        <f>+IF(D37="NO APLICA","",IF(ROUND(D37-D35,1)=ROUND(D35-D33,1),(D35+D37)/2,D37))</f>
        <v/>
      </c>
      <c r="K35" s="23" t="str">
        <f>+IF(K34=K33,K34,"")</f>
        <v/>
      </c>
      <c r="L35" s="23" t="str">
        <f>+IF(L36="","",(L34+L36)/2)</f>
        <v/>
      </c>
      <c r="M35" s="214"/>
      <c r="N35" s="287" t="str">
        <f>+IF(F36="NO APLICA","NO APLICA",IF(E35&gt;0.2,E35*0.2,"NO APLICA"))</f>
        <v>NO APLICA</v>
      </c>
      <c r="O35" s="287" t="str">
        <f>+IF(F36="NO APLICA","NO APLICA",IF(E35&gt;0,E35*0.6,"NO APLICA"))</f>
        <v>NO APLICA</v>
      </c>
      <c r="P35" s="287" t="str">
        <f>+IF(F36="NO APLICA","NO APLICA",IF(E35&gt;0.5,E35*0.8,"NO APLICA"))</f>
        <v>NO APLICA</v>
      </c>
      <c r="Q35" s="26"/>
      <c r="R35" s="288" t="str">
        <f>+IF(F36="NO APLICA","NO APLICA",IF(E35&gt;0.2,E35*0.8,"NO APLICA"))</f>
        <v>NO APLICA</v>
      </c>
      <c r="S35" s="288" t="str">
        <f>+IF(F36="NO APLICA","NO APLICA",IF(E35&gt;0,E35*0.4,"NO APLICA"))</f>
        <v>NO APLICA</v>
      </c>
      <c r="T35" s="288" t="str">
        <f>+IF(F36="NO APLICA","NO APLICA",IF(E35&gt;0.5,E35*0.2,"NO APLICA"))</f>
        <v>NO APLICA</v>
      </c>
      <c r="U35" s="84"/>
      <c r="V35" s="84"/>
      <c r="W35" s="290"/>
      <c r="X35" s="291"/>
      <c r="Y35" s="289"/>
      <c r="Z35" s="290"/>
      <c r="AA35" s="291"/>
      <c r="AB35" s="289"/>
      <c r="AC35" s="283"/>
      <c r="AD35" s="219"/>
      <c r="AE35" s="275"/>
      <c r="AF35" s="277" t="str">
        <f t="shared" ref="AF35" si="30">+IF(OR(ISNUMBER(W35),ISNUMBER(X35),ISNUMBER(Y35)),AVERAGE(W35:Y36),"NO APLICA")</f>
        <v>NO APLICA</v>
      </c>
      <c r="AG35" s="278" t="str">
        <f t="shared" ref="AG35" si="31">+IF(OR(ISNUMBER(Z35),ISNUMBER(AA35),ISNUMBER(AB35)),AVERAGE(Z35:AB36),"NO APLICA")</f>
        <v>NO APLICA</v>
      </c>
      <c r="AH35" s="278" t="str">
        <f t="shared" ref="AH35" si="32">+IF(OR(ISNUMBER(AC35),ISNUMBER(AD35),ISNUMBER(AE35)),AVERAGE(AC35:AE36),"NO APLICA")</f>
        <v>NO APLICA</v>
      </c>
      <c r="AI35" s="279" t="str">
        <f t="shared" ref="AI35" si="33">IF(F36="NO APLICA","NO APLICA",IF(E35&gt;0.5,IF(OR(ISTEXT(AF35),ISTEXT(AG35),ISTEXT(AH35)),"FALTAN DATOS",(AF35+2*AG35+AH35)/4),IF(E35&gt;0.2,IF(OR(ISTEXT(AF35),ISTEXT(AG35)),"FALTAN DATOS",(AF35+AG35)/2),IF(E35&gt;0,IF(ISTEXT(AG35),"FALTAN DATOS",AG35),"NO APLICA"))))</f>
        <v>NO APLICA</v>
      </c>
      <c r="AJ35" s="266" t="str">
        <f t="shared" ref="AJ35" si="34">+IF(OR(AI35="FALTAN DATOS",AI35="NO APLICA"),"NO APLICA",AI35*G35)</f>
        <v>NO APLICA</v>
      </c>
      <c r="AK35" s="49"/>
      <c r="AL35" s="55" t="s">
        <v>44</v>
      </c>
      <c r="AM35" s="66" t="str">
        <f>+IF(P29="NO APLICA","",MAX(E25:E60)-E29*0.8)</f>
        <v/>
      </c>
      <c r="AN35" s="66" t="str">
        <f>+IF(P29="NO APLICA","",D29)</f>
        <v/>
      </c>
      <c r="AO35" s="66" t="str">
        <f>+IF(P29="NO APLICA","",AH29)</f>
        <v/>
      </c>
      <c r="AP35" s="67" t="str">
        <f>+B29</f>
        <v>S/N</v>
      </c>
      <c r="AQ35" s="45"/>
      <c r="AR35" s="341"/>
      <c r="AS35" s="342"/>
      <c r="AT35" s="314"/>
      <c r="AU35" s="314"/>
      <c r="AV35" s="314"/>
      <c r="AW35" s="314"/>
      <c r="AX35" s="314"/>
      <c r="AY35" s="314"/>
      <c r="AZ35" s="314"/>
      <c r="BA35" s="314"/>
      <c r="BB35" s="314"/>
      <c r="BC35" s="314"/>
      <c r="BD35" s="346"/>
      <c r="BE35" s="314"/>
      <c r="BF35" s="346"/>
      <c r="BG35" s="346"/>
      <c r="BH35" s="348"/>
      <c r="BI35" s="9"/>
      <c r="BJ35" s="9"/>
      <c r="BK35" s="9"/>
    </row>
    <row r="36" spans="1:63" ht="15" customHeight="1" x14ac:dyDescent="0.25">
      <c r="A36" s="9"/>
      <c r="B36" s="268"/>
      <c r="C36" s="270"/>
      <c r="D36" s="272"/>
      <c r="E36" s="220"/>
      <c r="F36" s="159" t="str">
        <f>+IF(C37="NO APLICA","NO APLICA",IF(C35=C37,IF(E37=E35,E37*(D37-D35)/2,IF(E37&gt;E35,(E35*(D37-D35)/2)+(((E37-E35)/2)*(D37-D35)/4),IF(E37&lt;E35,(E35-((E35-E37)/2))*(D37-D35)/2+(((E35-E37)/2)*(D37-D35)/4)))),IF(E37=E35,E37*2*(D37-D35)/2,IF(E37&gt;E35,E35*2*(D37-D35)/2+(((E37-E35))*2*(D37-D35)/4),IF(E37&lt;E35,E37*2*(D37-D35)/2+(((E35-E37))*2*(D37-D35)/4))))))</f>
        <v>NO APLICA</v>
      </c>
      <c r="G36" s="225"/>
      <c r="H36" s="273"/>
      <c r="I36" s="273"/>
      <c r="J36" s="17" t="str">
        <f>+IF(D37="NO APLICA","",D37)</f>
        <v/>
      </c>
      <c r="K36" s="17" t="str">
        <f>+H37</f>
        <v/>
      </c>
      <c r="L36" s="17" t="str">
        <f>+I37</f>
        <v/>
      </c>
      <c r="M36" s="214"/>
      <c r="N36" s="287"/>
      <c r="O36" s="287"/>
      <c r="P36" s="287"/>
      <c r="Q36" s="26"/>
      <c r="R36" s="288"/>
      <c r="S36" s="288"/>
      <c r="T36" s="288"/>
      <c r="U36" s="84"/>
      <c r="V36" s="84"/>
      <c r="W36" s="290"/>
      <c r="X36" s="291"/>
      <c r="Y36" s="289"/>
      <c r="Z36" s="290"/>
      <c r="AA36" s="291"/>
      <c r="AB36" s="289"/>
      <c r="AC36" s="286"/>
      <c r="AD36" s="220"/>
      <c r="AE36" s="285"/>
      <c r="AF36" s="277"/>
      <c r="AG36" s="278"/>
      <c r="AH36" s="278"/>
      <c r="AI36" s="280"/>
      <c r="AJ36" s="266"/>
      <c r="AK36" s="49"/>
      <c r="AL36" s="55" t="s">
        <v>52</v>
      </c>
      <c r="AM36" s="68" t="str">
        <f>+IF(AM35="",IF(AM34="","",(AM32-AM37)*0.1+AM37),(AM32-AM37)*0.1+AM37)</f>
        <v/>
      </c>
      <c r="AN36" s="68" t="str">
        <f>+IF(AN35="",IF(AN34="","",AN34),AN35)</f>
        <v/>
      </c>
      <c r="AO36" s="68" t="str">
        <f>+IF(AO35="",IF(AO34="","",AO34*0.75),AO35*0.85)</f>
        <v/>
      </c>
      <c r="AP36" s="64" t="str">
        <f>+B29</f>
        <v>S/N</v>
      </c>
      <c r="AQ36" s="9"/>
      <c r="AR36" s="341"/>
      <c r="AS36" s="342"/>
      <c r="AT36" s="314"/>
      <c r="AU36" s="314"/>
      <c r="AV36" s="314"/>
      <c r="AW36" s="314"/>
      <c r="AX36" s="314"/>
      <c r="AY36" s="314"/>
      <c r="AZ36" s="314"/>
      <c r="BA36" s="314"/>
      <c r="BB36" s="314"/>
      <c r="BC36" s="314"/>
      <c r="BD36" s="346"/>
      <c r="BE36" s="314"/>
      <c r="BF36" s="346"/>
      <c r="BG36" s="346"/>
      <c r="BH36" s="348"/>
      <c r="BI36" s="9"/>
      <c r="BJ36" s="9"/>
      <c r="BK36" s="9"/>
    </row>
    <row r="37" spans="1:63" ht="15" customHeight="1" x14ac:dyDescent="0.25">
      <c r="A37" s="9"/>
      <c r="B37" s="267" t="str">
        <f>+IF(C37="NO APLICA","S/N",6)</f>
        <v>S/N</v>
      </c>
      <c r="C37" s="269" t="str">
        <f>+IF(C20&gt;4,C21,"NO APLICA")</f>
        <v>NO APLICA</v>
      </c>
      <c r="D37" s="271" t="str">
        <f>IF(C37="NO APLICA","NO APLICA",ROUND(C27+C29+C31+C33+C35+C37,2))</f>
        <v>NO APLICA</v>
      </c>
      <c r="E37" s="219"/>
      <c r="F37" s="159" t="str">
        <f>+IF(C37="NO APLICA","NO APLICA",IF(E37=E35,E37*(D37-D35)/2,IF(E37&gt;E35,(E37-((E37-E35)/2))*(D37-D35)/2+(((E37-E35)/2)*(D37-D35)/4),IF(E37&lt;E35,(E37*(D37-D35)/2)+(((E35-E37)/2)*(D37-D35)/4)))))</f>
        <v>NO APLICA</v>
      </c>
      <c r="G37" s="225" t="str">
        <f t="shared" ref="G37" si="35">+IF(F38="NO APLICA","NO APLICA",F37+F38)</f>
        <v>NO APLICA</v>
      </c>
      <c r="H37" s="273" t="str">
        <f>+IF(C37="NO APLICA","",MAX(E$25:E$60))</f>
        <v/>
      </c>
      <c r="I37" s="273" t="str">
        <f t="shared" ref="I37" si="36">+IF(C37="NO APLICA","",H37-E37)</f>
        <v/>
      </c>
      <c r="J37" s="23" t="str">
        <f>+IF(D39="NO APLICA","",IF(ROUND(D39-D37,1)=ROUND(D37-D35,1),(D37+D39)/2,D39))</f>
        <v/>
      </c>
      <c r="K37" s="23" t="str">
        <f>+IF(K36=K35,K36,"")</f>
        <v/>
      </c>
      <c r="L37" s="23" t="str">
        <f>+IF(C20=6,I39,IF(L38="","",(L36+L38)/2))</f>
        <v/>
      </c>
      <c r="M37" s="214"/>
      <c r="N37" s="287" t="str">
        <f>+IF(F38="NO APLICA","NO APLICA",IF(E37&gt;0.2,E37*0.2,"NO APLICA"))</f>
        <v>NO APLICA</v>
      </c>
      <c r="O37" s="287" t="str">
        <f>+IF(F38="NO APLICA","NO APLICA",IF(E37&gt;0,E37*0.6,"NO APLICA"))</f>
        <v>NO APLICA</v>
      </c>
      <c r="P37" s="287" t="str">
        <f>+IF(F38="NO APLICA","NO APLICA",IF(E37&gt;0.5,E37*0.8,"NO APLICA"))</f>
        <v>NO APLICA</v>
      </c>
      <c r="Q37" s="26"/>
      <c r="R37" s="288" t="str">
        <f>+IF(F38="NO APLICA","NO APLICA",IF(E37&gt;0.2,E37*0.8,"NO APLICA"))</f>
        <v>NO APLICA</v>
      </c>
      <c r="S37" s="288" t="str">
        <f>+IF(F38="NO APLICA","NO APLICA",IF(E37&gt;0,E37*0.4,"NO APLICA"))</f>
        <v>NO APLICA</v>
      </c>
      <c r="T37" s="288" t="str">
        <f>+IF(F38="NO APLICA","NO APLICA",IF(E37&gt;0.5,E37*0.2,"NO APLICA"))</f>
        <v>NO APLICA</v>
      </c>
      <c r="U37" s="84"/>
      <c r="V37" s="84"/>
      <c r="W37" s="290"/>
      <c r="X37" s="291"/>
      <c r="Y37" s="289"/>
      <c r="Z37" s="290"/>
      <c r="AA37" s="291"/>
      <c r="AB37" s="289"/>
      <c r="AC37" s="283"/>
      <c r="AD37" s="219"/>
      <c r="AE37" s="275"/>
      <c r="AF37" s="277" t="str">
        <f t="shared" ref="AF37" si="37">+IF(OR(ISNUMBER(W37),ISNUMBER(X37),ISNUMBER(Y37)),AVERAGE(W37:Y38),"NO APLICA")</f>
        <v>NO APLICA</v>
      </c>
      <c r="AG37" s="278" t="str">
        <f t="shared" ref="AG37" si="38">+IF(OR(ISNUMBER(Z37),ISNUMBER(AA37),ISNUMBER(AB37)),AVERAGE(Z37:AB38),"NO APLICA")</f>
        <v>NO APLICA</v>
      </c>
      <c r="AH37" s="278" t="str">
        <f t="shared" ref="AH37" si="39">+IF(OR(ISNUMBER(AC37),ISNUMBER(AD37),ISNUMBER(AE37)),AVERAGE(AC37:AE38),"NO APLICA")</f>
        <v>NO APLICA</v>
      </c>
      <c r="AI37" s="279" t="str">
        <f>IF(F38="NO APLICA","NO APLICA",IF(E37&gt;0.5,IF(OR(ISTEXT(AF37),ISTEXT(AG37),ISTEXT(AH37)),"FALTAN DATOS",(AF37+2*AG37+AH37)/4),IF(E37&gt;0.2,IF(OR(ISTEXT(AF37),ISTEXT(AG37)),"FALTAN DATOS",(AF37+AG37)/2),IF(E37&gt;0,IF(ISTEXT(AG37),"FALTAN DATOS",AG37),"NO APLICA"))))</f>
        <v>NO APLICA</v>
      </c>
      <c r="AJ37" s="266" t="str">
        <f t="shared" ref="AJ37" si="40">+IF(OR(AI37="FALTAN DATOS",AI37="NO APLICA"),"NO APLICA",AI37*G37)</f>
        <v>NO APLICA</v>
      </c>
      <c r="AK37" s="49"/>
      <c r="AL37" s="56" t="s">
        <v>45</v>
      </c>
      <c r="AM37" s="70" t="str">
        <f>+IF(O29="NO APLICA","",MAX(E25:E60)-E29)</f>
        <v/>
      </c>
      <c r="AN37" s="70" t="str">
        <f>+IF(O29="NO APLICA","",D29)</f>
        <v/>
      </c>
      <c r="AO37" s="70" t="str">
        <f>+IF(O29="NO APLICA","",0)</f>
        <v/>
      </c>
      <c r="AP37" s="71" t="str">
        <f>+B29</f>
        <v>S/N</v>
      </c>
      <c r="AQ37" s="45"/>
      <c r="AR37" s="341"/>
      <c r="AS37" s="350"/>
      <c r="AT37" s="345"/>
      <c r="AU37" s="345"/>
      <c r="AV37" s="345"/>
      <c r="AW37" s="345"/>
      <c r="AX37" s="345"/>
      <c r="AY37" s="345"/>
      <c r="AZ37" s="345"/>
      <c r="BA37" s="345"/>
      <c r="BB37" s="345"/>
      <c r="BC37" s="345"/>
      <c r="BD37" s="347"/>
      <c r="BE37" s="345"/>
      <c r="BF37" s="347"/>
      <c r="BG37" s="347"/>
      <c r="BH37" s="349"/>
      <c r="BI37" s="9"/>
      <c r="BJ37" s="9"/>
      <c r="BK37" s="9"/>
    </row>
    <row r="38" spans="1:63" ht="15" customHeight="1" x14ac:dyDescent="0.25">
      <c r="A38" s="9"/>
      <c r="B38" s="268"/>
      <c r="C38" s="270"/>
      <c r="D38" s="272"/>
      <c r="E38" s="220"/>
      <c r="F38" s="159" t="str">
        <f>+IF(C39="NO APLICA","NO APLICA",IF(C37=C39,IF(E39=E37,E39*(D39-D37)/2,IF(E39&gt;E37,(E37*(D39-D37)/2)+(((E39-E37)/2)*(D39-D37)/4),IF(E39&lt;E37,(E37-((E37-E39)/2))*(D39-D37)/2+(((E37-E39)/2)*(D39-D37)/4)))),IF(E39=E37,E39*2*(D39-D37)/2,IF(E39&gt;E37,E37*2*(D39-D37)/2+(((E39-E37))*2*(D39-D37)/4),IF(E39&lt;E37,E39*2*(D39-D37)/2+(((E37-E39))*2*(D39-D37)/4))))))</f>
        <v>NO APLICA</v>
      </c>
      <c r="G38" s="225"/>
      <c r="H38" s="273"/>
      <c r="I38" s="273"/>
      <c r="J38" s="17" t="str">
        <f>+IF(D41="NO APLICA","",D39)</f>
        <v/>
      </c>
      <c r="K38" s="17" t="str">
        <f>IF(C41="NO APLICA","",H39)</f>
        <v/>
      </c>
      <c r="L38" s="17" t="str">
        <f>IF(C41="NO APLICA","",I39)</f>
        <v/>
      </c>
      <c r="M38" s="214"/>
      <c r="N38" s="287"/>
      <c r="O38" s="287"/>
      <c r="P38" s="287"/>
      <c r="Q38" s="26"/>
      <c r="R38" s="288"/>
      <c r="S38" s="288"/>
      <c r="T38" s="288"/>
      <c r="U38" s="84"/>
      <c r="V38" s="84"/>
      <c r="W38" s="290"/>
      <c r="X38" s="291"/>
      <c r="Y38" s="289"/>
      <c r="Z38" s="290"/>
      <c r="AA38" s="291"/>
      <c r="AB38" s="289"/>
      <c r="AC38" s="286"/>
      <c r="AD38" s="220"/>
      <c r="AE38" s="285"/>
      <c r="AF38" s="277"/>
      <c r="AG38" s="278"/>
      <c r="AH38" s="278"/>
      <c r="AI38" s="280"/>
      <c r="AJ38" s="266"/>
      <c r="AK38" s="49"/>
      <c r="AL38" s="54" t="s">
        <v>41</v>
      </c>
      <c r="AM38" s="62" t="str">
        <f>+IF(O31="NO APLICA","",MAX(E25:E60))</f>
        <v/>
      </c>
      <c r="AN38" s="62" t="str">
        <f>+IF(AN39="",IF(AN40="","",AN40),AN39)</f>
        <v/>
      </c>
      <c r="AO38" s="62" t="str">
        <f>+IF(AO39="",IF(AO40="","",AO40*1.25),AO39*1.15)</f>
        <v/>
      </c>
      <c r="AP38" s="63" t="str">
        <f>+B31</f>
        <v>S/N</v>
      </c>
      <c r="AQ38" s="45"/>
      <c r="AR38" s="344" t="s">
        <v>57</v>
      </c>
      <c r="AS38" s="344"/>
      <c r="AT38" s="344"/>
      <c r="AU38" s="344"/>
      <c r="AV38" s="344"/>
      <c r="AW38" s="344"/>
      <c r="AX38" s="344"/>
      <c r="AY38" s="344"/>
      <c r="AZ38" s="344"/>
      <c r="BA38" s="344"/>
      <c r="BB38" s="344"/>
      <c r="BC38" s="344"/>
      <c r="BD38" s="344"/>
      <c r="BE38" s="344"/>
      <c r="BF38" s="344"/>
      <c r="BG38" s="344"/>
      <c r="BH38" s="344"/>
      <c r="BI38" s="9"/>
      <c r="BJ38" s="9"/>
      <c r="BK38" s="9"/>
    </row>
    <row r="39" spans="1:63" ht="15" customHeight="1" x14ac:dyDescent="0.25">
      <c r="A39" s="9"/>
      <c r="B39" s="267" t="str">
        <f>+IF(C39="NO APLICA","S/N",IF(C37&gt;C39,"Final",7))</f>
        <v>S/N</v>
      </c>
      <c r="C39" s="269" t="str">
        <f>+IF(C20=6,C21/2,IF(C20&gt;6,C21,"NO APLICA"))</f>
        <v>NO APLICA</v>
      </c>
      <c r="D39" s="271" t="str">
        <f>IF(C39="NO APLICA","NO APLICA",ROUND(C27+C29+C31+C33+C35+C37+C39,2))</f>
        <v>NO APLICA</v>
      </c>
      <c r="E39" s="219"/>
      <c r="F39" s="159" t="str">
        <f>+IF(C39="NO APLICA","NO APLICA",IF(E39=E37,E39*(D39-D37)/2,IF(E39&gt;E37,(E39-((E39-E37)/2))*(D39-D37)/2+(((E39-E37)/2)*(D39-D37)/4),IF(E39&lt;E37,(E39*(D39-D37)/2)+(((E37-E39)/2)*(D39-D37)/4)))))</f>
        <v>NO APLICA</v>
      </c>
      <c r="G39" s="225" t="str">
        <f t="shared" ref="G39" si="41">+IF(F40="NO APLICA","NO APLICA",F39+F40)</f>
        <v>NO APLICA</v>
      </c>
      <c r="H39" s="273" t="str">
        <f t="shared" ref="H39" si="42">+IF(C39="NO APLICA","",MAX(E$25:E$60))</f>
        <v/>
      </c>
      <c r="I39" s="273" t="str">
        <f t="shared" ref="I39" si="43">+IF(C39="NO APLICA","",H39-E39)</f>
        <v/>
      </c>
      <c r="J39" s="23" t="str">
        <f>+IF(D41="NO APLICA","",IF(ROUND(D41-D39,1)=ROUND(D39-D37,1),(D39+D41)/2,D41))</f>
        <v/>
      </c>
      <c r="K39" s="23" t="str">
        <f>+IF(K38=K37,K38,"")</f>
        <v/>
      </c>
      <c r="L39" s="23" t="str">
        <f>+IF(L40="","",(L38+L40)/2)</f>
        <v/>
      </c>
      <c r="M39" s="214"/>
      <c r="N39" s="287" t="str">
        <f>+IF(F40="NO APLICA","NO APLICA",IF(E39&gt;0.2,E39*0.2,"NO APLICA"))</f>
        <v>NO APLICA</v>
      </c>
      <c r="O39" s="287" t="str">
        <f>+IF(F40="NO APLICA","NO APLICA",IF(E39&gt;0,E39*0.6,"NO APLICA"))</f>
        <v>NO APLICA</v>
      </c>
      <c r="P39" s="287" t="str">
        <f>+IF(F40="NO APLICA","NO APLICA",IF(E39&gt;0.5,E39*0.8,"NO APLICA"))</f>
        <v>NO APLICA</v>
      </c>
      <c r="Q39" s="26"/>
      <c r="R39" s="288" t="str">
        <f>+IF(F40="NO APLICA","NO APLICA",IF(E39&gt;0.2,E39*0.8,"NO APLICA"))</f>
        <v>NO APLICA</v>
      </c>
      <c r="S39" s="288" t="str">
        <f>+IF(F40="NO APLICA","NO APLICA",IF(E39&gt;0,E39*0.4,"NO APLICA"))</f>
        <v>NO APLICA</v>
      </c>
      <c r="T39" s="288" t="str">
        <f>+IF(F40="NO APLICA","NO APLICA",IF(E39&gt;0.5,E39*0.2,"NO APLICA"))</f>
        <v>NO APLICA</v>
      </c>
      <c r="U39" s="84"/>
      <c r="V39" s="84"/>
      <c r="W39" s="283"/>
      <c r="X39" s="219"/>
      <c r="Y39" s="275"/>
      <c r="Z39" s="283"/>
      <c r="AA39" s="219"/>
      <c r="AB39" s="275"/>
      <c r="AC39" s="283"/>
      <c r="AD39" s="219"/>
      <c r="AE39" s="275"/>
      <c r="AF39" s="277" t="str">
        <f t="shared" ref="AF39" si="44">+IF(OR(ISNUMBER(W39),ISNUMBER(X39),ISNUMBER(Y39)),AVERAGE(W39:Y40),"NO APLICA")</f>
        <v>NO APLICA</v>
      </c>
      <c r="AG39" s="278" t="str">
        <f t="shared" ref="AG39" si="45">+IF(OR(ISNUMBER(Z39),ISNUMBER(AA39),ISNUMBER(AB39)),AVERAGE(Z39:AB40),"NO APLICA")</f>
        <v>NO APLICA</v>
      </c>
      <c r="AH39" s="278" t="str">
        <f t="shared" ref="AH39" si="46">+IF(OR(ISNUMBER(AC39),ISNUMBER(AD39),ISNUMBER(AE39)),AVERAGE(AC39:AE40),"NO APLICA")</f>
        <v>NO APLICA</v>
      </c>
      <c r="AI39" s="279" t="str">
        <f t="shared" ref="AI39" si="47">IF(F40="NO APLICA","NO APLICA",IF(E39&gt;0.5,IF(OR(ISTEXT(AF39),ISTEXT(AG39),ISTEXT(AH39)),"FALTAN DATOS",(AF39+2*AG39+AH39)/4),IF(E39&gt;0.2,IF(OR(ISTEXT(AF39),ISTEXT(AG39)),"FALTAN DATOS",(AF39+AG39)/2),IF(E39&gt;0,IF(ISTEXT(AG39),"FALTAN DATOS",AG39),"NO APLICA"))))</f>
        <v>NO APLICA</v>
      </c>
      <c r="AJ39" s="266" t="str">
        <f t="shared" ref="AJ39" si="48">+IF(OR(AI39="FALTAN DATOS",AI39="NO APLICA"),"NO APLICA",AI39*G39)</f>
        <v>NO APLICA</v>
      </c>
      <c r="AK39" s="49"/>
      <c r="AL39" s="55" t="s">
        <v>42</v>
      </c>
      <c r="AM39" s="66" t="str">
        <f>+IF(N31="NO APLICA","",MAX(E25:E60)-E31*0.2)</f>
        <v/>
      </c>
      <c r="AN39" s="66" t="str">
        <f>+IF(N31="NO APLICA","",D31)</f>
        <v/>
      </c>
      <c r="AO39" s="66" t="str">
        <f>+IF(N31="NO APLICA","",AF31)</f>
        <v/>
      </c>
      <c r="AP39" s="67" t="str">
        <f>+B31</f>
        <v>S/N</v>
      </c>
      <c r="AQ39" s="45"/>
      <c r="AR39" s="9"/>
      <c r="AS39" s="9"/>
      <c r="AT39" s="9"/>
      <c r="AU39" s="9"/>
      <c r="AV39" s="9"/>
      <c r="AW39" s="9"/>
      <c r="AX39" s="9"/>
      <c r="AY39" s="9"/>
      <c r="AZ39" s="9"/>
      <c r="BA39" s="9"/>
      <c r="BB39" s="9"/>
      <c r="BC39" s="9"/>
      <c r="BD39" s="9"/>
      <c r="BE39" s="9"/>
      <c r="BF39" s="9"/>
      <c r="BG39" s="9"/>
      <c r="BH39" s="9"/>
      <c r="BI39" s="9"/>
      <c r="BJ39" s="9"/>
      <c r="BK39" s="9"/>
    </row>
    <row r="40" spans="1:63" ht="15" customHeight="1" x14ac:dyDescent="0.25">
      <c r="A40" s="9"/>
      <c r="B40" s="268"/>
      <c r="C40" s="270"/>
      <c r="D40" s="272"/>
      <c r="E40" s="220"/>
      <c r="F40" s="159" t="str">
        <f>+IF(C41="NO APLICA","NO APLICA",IF(C39=C41,IF(E41=E39,E41*(D41-D39)/2,IF(E41&gt;E39,(E39*(D41-D39)/2)+(((E41-E39)/2)*(D41-D39)/4),IF(E41&lt;E39,(E39-((E39-E41)/2))*(D41-D39)/2+(((E39-E41)/2)*(D41-D39)/4)))),IF(E41=E39,E41*2*(D41-D39)/2,IF(E41&gt;E39,E39*2*(D41-D39)/2+(((E41-E39))*2*(D41-D39)/4),IF(E41&lt;E39,E41*2*(D41-D39)/2+(((E39-E41))*2*(D41-D39)/4))))))</f>
        <v>NO APLICA</v>
      </c>
      <c r="G40" s="225"/>
      <c r="H40" s="273"/>
      <c r="I40" s="273"/>
      <c r="J40" s="17" t="str">
        <f>+IF(D41="NO APLICA","",D41)</f>
        <v/>
      </c>
      <c r="K40" s="17" t="str">
        <f>+H41</f>
        <v/>
      </c>
      <c r="L40" s="17" t="str">
        <f>+I41</f>
        <v/>
      </c>
      <c r="M40" s="214"/>
      <c r="N40" s="287"/>
      <c r="O40" s="287"/>
      <c r="P40" s="287"/>
      <c r="Q40" s="26"/>
      <c r="R40" s="288"/>
      <c r="S40" s="288"/>
      <c r="T40" s="288"/>
      <c r="U40" s="84"/>
      <c r="V40" s="84"/>
      <c r="W40" s="286"/>
      <c r="X40" s="220"/>
      <c r="Y40" s="285"/>
      <c r="Z40" s="286"/>
      <c r="AA40" s="220"/>
      <c r="AB40" s="285"/>
      <c r="AC40" s="286"/>
      <c r="AD40" s="220"/>
      <c r="AE40" s="285"/>
      <c r="AF40" s="277"/>
      <c r="AG40" s="278"/>
      <c r="AH40" s="278"/>
      <c r="AI40" s="280"/>
      <c r="AJ40" s="266"/>
      <c r="AK40" s="49"/>
      <c r="AL40" s="55" t="s">
        <v>43</v>
      </c>
      <c r="AM40" s="66" t="str">
        <f>+IF(O31="NO APLICA","",MAX(E25:E60)-E31*0.6)</f>
        <v/>
      </c>
      <c r="AN40" s="66" t="str">
        <f>+IF(O31="NO APLICA","",D31)</f>
        <v/>
      </c>
      <c r="AO40" s="66" t="str">
        <f>+IF(O31="NO APLICA","",AG31)</f>
        <v/>
      </c>
      <c r="AP40" s="67" t="str">
        <f>+B31</f>
        <v>S/N</v>
      </c>
      <c r="AQ40" s="45"/>
      <c r="AR40" s="9"/>
      <c r="AS40" s="9"/>
      <c r="AT40" s="9"/>
      <c r="AU40" s="9"/>
      <c r="AV40" s="9"/>
      <c r="AW40" s="9"/>
      <c r="AX40" s="9"/>
      <c r="AY40" s="9"/>
      <c r="AZ40" s="9"/>
      <c r="BA40" s="9"/>
      <c r="BB40" s="9"/>
      <c r="BC40" s="9"/>
      <c r="BD40" s="9"/>
      <c r="BE40" s="9"/>
      <c r="BF40" s="9"/>
      <c r="BG40" s="9"/>
      <c r="BH40" s="9"/>
      <c r="BI40" s="9"/>
      <c r="BJ40" s="9"/>
      <c r="BK40" s="9"/>
    </row>
    <row r="41" spans="1:63" ht="15" customHeight="1" x14ac:dyDescent="0.25">
      <c r="A41" s="9"/>
      <c r="B41" s="267" t="str">
        <f>+IF(C41="NO APLICA","S/N",8)</f>
        <v>S/N</v>
      </c>
      <c r="C41" s="269" t="str">
        <f>+IF(C20&gt;6,C21,"NO APLICA")</f>
        <v>NO APLICA</v>
      </c>
      <c r="D41" s="271" t="str">
        <f>IF(C41="NO APLICA","NO APLICA",ROUND(C27+C29+C31+C33+C35+C37+C39+C41,2))</f>
        <v>NO APLICA</v>
      </c>
      <c r="E41" s="219"/>
      <c r="F41" s="159" t="str">
        <f>+IF(C41="NO APLICA","NO APLICA",IF(E41=E39,E41*(D41-D39)/2,IF(E41&gt;E39,(E41-((E41-E39)/2))*(D41-D39)/2+(((E41-E39)/2)*(D41-D39)/4),IF(E41&lt;E39,(E41*(D41-D39)/2)+(((E39-E41)/2)*(D41-D39)/4)))))</f>
        <v>NO APLICA</v>
      </c>
      <c r="G41" s="225" t="str">
        <f t="shared" ref="G41" si="49">+IF(F42="NO APLICA","NO APLICA",F41+F42)</f>
        <v>NO APLICA</v>
      </c>
      <c r="H41" s="273" t="str">
        <f t="shared" ref="H41" si="50">+IF(C41="NO APLICA","",MAX(E$25:E$60))</f>
        <v/>
      </c>
      <c r="I41" s="273" t="str">
        <f t="shared" ref="I41" si="51">+IF(C41="NO APLICA","",H41-E41)</f>
        <v/>
      </c>
      <c r="J41" s="23" t="str">
        <f>+IF(D43="NO APLICA","",IF(ROUND(D43-D41,1)=ROUND(D41-D39,1),(D41+D43)/2,D43))</f>
        <v/>
      </c>
      <c r="K41" s="23" t="str">
        <f>+IF(K40=K39,K40,"")</f>
        <v/>
      </c>
      <c r="L41" s="23" t="str">
        <f>+IF(L42="","",(L40+L42)/2)</f>
        <v/>
      </c>
      <c r="M41" s="214"/>
      <c r="N41" s="287" t="str">
        <f>+IF(F42="NO APLICA","NO APLICA",IF(E41&gt;0.2,E41*0.2,"NO APLICA"))</f>
        <v>NO APLICA</v>
      </c>
      <c r="O41" s="287" t="str">
        <f>+IF(F42="NO APLICA","NO APLICA",IF(E41&gt;0,E41*0.6,"NO APLICA"))</f>
        <v>NO APLICA</v>
      </c>
      <c r="P41" s="287" t="str">
        <f>+IF(F42="NO APLICA","NO APLICA",IF(E41&gt;0.5,E41*0.8,"NO APLICA"))</f>
        <v>NO APLICA</v>
      </c>
      <c r="Q41" s="26"/>
      <c r="R41" s="288" t="str">
        <f>+IF(F42="NO APLICA","NO APLICA",IF(E41&gt;0.2,E41*0.8,"NO APLICA"))</f>
        <v>NO APLICA</v>
      </c>
      <c r="S41" s="288" t="str">
        <f>+IF(F42="NO APLICA","NO APLICA",IF(E41&gt;0,E41*0.4,"NO APLICA"))</f>
        <v>NO APLICA</v>
      </c>
      <c r="T41" s="288" t="str">
        <f>+IF(F42="NO APLICA","NO APLICA",IF(E41&gt;0.5,E41*0.2,"NO APLICA"))</f>
        <v>NO APLICA</v>
      </c>
      <c r="U41" s="84"/>
      <c r="V41" s="84"/>
      <c r="W41" s="283"/>
      <c r="X41" s="219"/>
      <c r="Y41" s="275"/>
      <c r="Z41" s="283"/>
      <c r="AA41" s="219"/>
      <c r="AB41" s="275"/>
      <c r="AC41" s="283"/>
      <c r="AD41" s="219"/>
      <c r="AE41" s="275"/>
      <c r="AF41" s="277" t="str">
        <f t="shared" ref="AF41" si="52">+IF(OR(ISNUMBER(W41),ISNUMBER(X41),ISNUMBER(Y41)),AVERAGE(W41:Y42),"NO APLICA")</f>
        <v>NO APLICA</v>
      </c>
      <c r="AG41" s="278" t="str">
        <f t="shared" ref="AG41" si="53">+IF(OR(ISNUMBER(Z41),ISNUMBER(AA41),ISNUMBER(AB41)),AVERAGE(Z41:AB42),"NO APLICA")</f>
        <v>NO APLICA</v>
      </c>
      <c r="AH41" s="278" t="str">
        <f t="shared" ref="AH41" si="54">+IF(OR(ISNUMBER(AC41),ISNUMBER(AD41),ISNUMBER(AE41)),AVERAGE(AC41:AE42),"NO APLICA")</f>
        <v>NO APLICA</v>
      </c>
      <c r="AI41" s="279" t="str">
        <f t="shared" ref="AI41" si="55">IF(F42="NO APLICA","NO APLICA",IF(E41&gt;0.5,IF(OR(ISTEXT(AF41),ISTEXT(AG41),ISTEXT(AH41)),"FALTAN DATOS",(AF41+2*AG41+AH41)/4),IF(E41&gt;0.2,IF(OR(ISTEXT(AF41),ISTEXT(AG41)),"FALTAN DATOS",(AF41+AG41)/2),IF(E41&gt;0,IF(ISTEXT(AG41),"FALTAN DATOS",AG41),"NO APLICA"))))</f>
        <v>NO APLICA</v>
      </c>
      <c r="AJ41" s="266" t="str">
        <f t="shared" ref="AJ41" si="56">+IF(OR(AI41="FALTAN DATOS",AI41="NO APLICA"),"NO APLICA",AI41*G41)</f>
        <v>NO APLICA</v>
      </c>
      <c r="AK41" s="49"/>
      <c r="AL41" s="55" t="s">
        <v>44</v>
      </c>
      <c r="AM41" s="66" t="str">
        <f>+IF(P31="NO APLICA","",MAX(E25:E60)-E31*0.8)</f>
        <v/>
      </c>
      <c r="AN41" s="66" t="str">
        <f>+IF(P31="NO APLICA","",D31)</f>
        <v/>
      </c>
      <c r="AO41" s="66" t="str">
        <f>+IF(P31="NO APLICA","",AH31)</f>
        <v/>
      </c>
      <c r="AP41" s="67" t="str">
        <f>+B31</f>
        <v>S/N</v>
      </c>
      <c r="AQ41" s="45"/>
      <c r="AR41" s="9"/>
      <c r="AS41" s="9"/>
      <c r="AT41" s="9"/>
      <c r="AU41" s="9"/>
      <c r="AV41" s="9"/>
      <c r="AW41" s="9"/>
      <c r="AX41" s="9"/>
      <c r="AY41" s="9"/>
      <c r="AZ41" s="9"/>
      <c r="BA41" s="9"/>
      <c r="BB41" s="9"/>
      <c r="BC41" s="9"/>
      <c r="BD41" s="9"/>
      <c r="BE41" s="9"/>
      <c r="BF41" s="9"/>
      <c r="BG41" s="9"/>
      <c r="BH41" s="9"/>
      <c r="BI41" s="9"/>
      <c r="BJ41" s="9"/>
      <c r="BK41" s="9"/>
    </row>
    <row r="42" spans="1:63" ht="15" customHeight="1" x14ac:dyDescent="0.25">
      <c r="A42" s="9"/>
      <c r="B42" s="268"/>
      <c r="C42" s="270"/>
      <c r="D42" s="272"/>
      <c r="E42" s="220"/>
      <c r="F42" s="159" t="str">
        <f>+IF(C43="NO APLICA","NO APLICA",IF(C41=C43,IF(E43=E41,E43*(D43-D41)/2,IF(E43&gt;E41,(E41*(D43-D41)/2)+(((E43-E41)/2)*(D43-D41)/4),IF(E43&lt;E41,(E41-((E41-E43)/2))*(D43-D41)/2+(((E41-E43)/2)*(D43-D41)/4)))),IF(E43=E41,E43*2*(D43-D41)/2,IF(E43&gt;E41,E41*2*(D43-D41)/2+(((E43-E41))*2*(D43-D41)/4),IF(E43&lt;E41,E43*2*(D43-D41)/2+(((E41-E43))*2*(D43-D41)/4))))))</f>
        <v>NO APLICA</v>
      </c>
      <c r="G42" s="225"/>
      <c r="H42" s="273"/>
      <c r="I42" s="273"/>
      <c r="J42" s="17" t="str">
        <f>+IF(D43="NO APLICA","",D43)</f>
        <v/>
      </c>
      <c r="K42" s="17" t="str">
        <f>+H43</f>
        <v/>
      </c>
      <c r="L42" s="17" t="str">
        <f>+I43</f>
        <v/>
      </c>
      <c r="M42" s="214"/>
      <c r="N42" s="287"/>
      <c r="O42" s="287"/>
      <c r="P42" s="287"/>
      <c r="Q42" s="26"/>
      <c r="R42" s="288"/>
      <c r="S42" s="288"/>
      <c r="T42" s="288"/>
      <c r="U42" s="84"/>
      <c r="V42" s="84"/>
      <c r="W42" s="286"/>
      <c r="X42" s="220"/>
      <c r="Y42" s="285"/>
      <c r="Z42" s="286"/>
      <c r="AA42" s="220"/>
      <c r="AB42" s="285"/>
      <c r="AC42" s="286"/>
      <c r="AD42" s="220"/>
      <c r="AE42" s="285"/>
      <c r="AF42" s="277"/>
      <c r="AG42" s="278"/>
      <c r="AH42" s="278"/>
      <c r="AI42" s="280"/>
      <c r="AJ42" s="266"/>
      <c r="AK42" s="49"/>
      <c r="AL42" s="55" t="s">
        <v>52</v>
      </c>
      <c r="AM42" s="68" t="str">
        <f>+IF(AM41="",IF(AM40="","",(AM38-AM43)*0.1+AM43),(AM38-AM43)*0.1+AM43)</f>
        <v/>
      </c>
      <c r="AN42" s="68" t="str">
        <f>+IF(AN41="",IF(AN40="","",AN40),AN41)</f>
        <v/>
      </c>
      <c r="AO42" s="68" t="str">
        <f>+IF(AO41="",IF(AO40="","",AO40*0.75),AO41*0.85)</f>
        <v/>
      </c>
      <c r="AP42" s="64" t="str">
        <f>+B31</f>
        <v>S/N</v>
      </c>
      <c r="AQ42" s="9"/>
      <c r="AR42" s="9"/>
      <c r="AS42" s="9"/>
      <c r="AT42" s="9"/>
      <c r="AU42" s="9"/>
      <c r="AV42" s="9"/>
      <c r="AW42" s="9"/>
      <c r="AX42" s="9"/>
      <c r="AY42" s="9"/>
      <c r="AZ42" s="9"/>
      <c r="BA42" s="9"/>
      <c r="BB42" s="9"/>
      <c r="BC42" s="9"/>
      <c r="BD42" s="9"/>
      <c r="BE42" s="9"/>
      <c r="BF42" s="9"/>
      <c r="BG42" s="9"/>
      <c r="BH42" s="9"/>
      <c r="BI42" s="9"/>
      <c r="BJ42" s="9"/>
      <c r="BK42" s="9"/>
    </row>
    <row r="43" spans="1:63" ht="15" customHeight="1" x14ac:dyDescent="0.25">
      <c r="A43" s="9"/>
      <c r="B43" s="267" t="str">
        <f>+IF(C43="NO APLICA","S/N",9)</f>
        <v>S/N</v>
      </c>
      <c r="C43" s="269" t="str">
        <f>+IF(C20&gt;6,C21,"NO APLICA")</f>
        <v>NO APLICA</v>
      </c>
      <c r="D43" s="271" t="str">
        <f>IF(C43="NO APLICA","NO APLICA",ROUND(C27+C29+C31+C33+C35+C37+C39+C41+C43,2))</f>
        <v>NO APLICA</v>
      </c>
      <c r="E43" s="219"/>
      <c r="F43" s="159" t="str">
        <f>+IF(C43="NO APLICA","NO APLICA",IF(E43=E41,E43*(D43-D41)/2,IF(E43&gt;E41,(E43-((E43-E41)/2))*(D43-D41)/2+(((E43-E41)/2)*(D43-D41)/4),IF(E43&lt;E41,(E43*(D43-D41)/2)+(((E41-E43)/2)*(D43-D41)/4)))))</f>
        <v>NO APLICA</v>
      </c>
      <c r="G43" s="225" t="str">
        <f t="shared" ref="G43" si="57">+IF(F44="NO APLICA","NO APLICA",F43+F44)</f>
        <v>NO APLICA</v>
      </c>
      <c r="H43" s="273" t="str">
        <f t="shared" ref="H43" si="58">+IF(C43="NO APLICA","",MAX(E$25:E$60))</f>
        <v/>
      </c>
      <c r="I43" s="273" t="str">
        <f t="shared" ref="I43" si="59">+IF(C43="NO APLICA","",H43-E43)</f>
        <v/>
      </c>
      <c r="J43" s="23" t="str">
        <f>+IF(D45="NO APLICA","",IF(ROUND(D45-D43,1)=ROUND(D43-D41,1),(D43+D45)/2,D45))</f>
        <v/>
      </c>
      <c r="K43" s="23" t="str">
        <f>+IF(K42=K41,K42,"")</f>
        <v/>
      </c>
      <c r="L43" s="23" t="str">
        <f>+IF(L44="","",(L42+L44)/2)</f>
        <v/>
      </c>
      <c r="M43" s="214"/>
      <c r="N43" s="287" t="str">
        <f>+IF(F44="NO APLICA","NO APLICA",IF(E43&gt;0.2,E43*0.2,"NO APLICA"))</f>
        <v>NO APLICA</v>
      </c>
      <c r="O43" s="287" t="str">
        <f>+IF(F44="NO APLICA","NO APLICA",IF(E43&gt;0,E43*0.6,"NO APLICA"))</f>
        <v>NO APLICA</v>
      </c>
      <c r="P43" s="287" t="str">
        <f>+IF(F44="NO APLICA","NO APLICA",IF(E43&gt;0.5,E43*0.8,"NO APLICA"))</f>
        <v>NO APLICA</v>
      </c>
      <c r="Q43" s="26"/>
      <c r="R43" s="288" t="str">
        <f>+IF(F44="NO APLICA","NO APLICA",IF(E43&gt;0.2,E43*0.8,"NO APLICA"))</f>
        <v>NO APLICA</v>
      </c>
      <c r="S43" s="288" t="str">
        <f>+IF(F44="NO APLICA","NO APLICA",IF(E43&gt;0,E43*0.4,"NO APLICA"))</f>
        <v>NO APLICA</v>
      </c>
      <c r="T43" s="288" t="str">
        <f>+IF(F44="NO APLICA","NO APLICA",IF(E43&gt;0.5,E43*0.2,"NO APLICA"))</f>
        <v>NO APLICA</v>
      </c>
      <c r="U43" s="84"/>
      <c r="V43" s="84"/>
      <c r="W43" s="283"/>
      <c r="X43" s="219"/>
      <c r="Y43" s="275"/>
      <c r="Z43" s="283"/>
      <c r="AA43" s="219"/>
      <c r="AB43" s="275"/>
      <c r="AC43" s="283"/>
      <c r="AD43" s="219"/>
      <c r="AE43" s="275"/>
      <c r="AF43" s="277" t="str">
        <f t="shared" ref="AF43" si="60">+IF(OR(ISNUMBER(W43),ISNUMBER(X43),ISNUMBER(Y43)),AVERAGE(W43:Y44),"NO APLICA")</f>
        <v>NO APLICA</v>
      </c>
      <c r="AG43" s="278" t="str">
        <f t="shared" ref="AG43" si="61">+IF(OR(ISNUMBER(Z43),ISNUMBER(AA43),ISNUMBER(AB43)),AVERAGE(Z43:AB44),"NO APLICA")</f>
        <v>NO APLICA</v>
      </c>
      <c r="AH43" s="278" t="str">
        <f t="shared" ref="AH43" si="62">+IF(OR(ISNUMBER(AC43),ISNUMBER(AD43),ISNUMBER(AE43)),AVERAGE(AC43:AE44),"NO APLICA")</f>
        <v>NO APLICA</v>
      </c>
      <c r="AI43" s="279" t="str">
        <f t="shared" ref="AI43" si="63">IF(F44="NO APLICA","NO APLICA",IF(E43&gt;0.5,IF(OR(ISTEXT(AF43),ISTEXT(AG43),ISTEXT(AH43)),"FALTAN DATOS",(AF43+2*AG43+AH43)/4),IF(E43&gt;0.2,IF(OR(ISTEXT(AF43),ISTEXT(AG43)),"FALTAN DATOS",(AF43+AG43)/2),IF(E43&gt;0,IF(ISTEXT(AG43),"FALTAN DATOS",AG43),"NO APLICA"))))</f>
        <v>NO APLICA</v>
      </c>
      <c r="AJ43" s="266" t="str">
        <f t="shared" ref="AJ43" si="64">+IF(OR(AI43="FALTAN DATOS",AI43="NO APLICA"),"NO APLICA",AI43*G43)</f>
        <v>NO APLICA</v>
      </c>
      <c r="AK43" s="49"/>
      <c r="AL43" s="56" t="s">
        <v>45</v>
      </c>
      <c r="AM43" s="70" t="str">
        <f>+IF(C31="NO APLICA","",IF(C29=C31*2,MAX(E25:E60)-E31,IF(O31="NO APLICA","",MAX(E25:E60)-E31)))</f>
        <v/>
      </c>
      <c r="AN43" s="70" t="str">
        <f>+IF(C31="NO APLICA","",IF(C29=C31*2,D31,IF(O31="NO APLICA","",D31)))</f>
        <v/>
      </c>
      <c r="AO43" s="70" t="str">
        <f>+IF(C31="NO APLICA","",IF(C29=C31*2,0,IF(O31="NO APLICA","",0)))</f>
        <v/>
      </c>
      <c r="AP43" s="71" t="str">
        <f>+B31</f>
        <v>S/N</v>
      </c>
      <c r="AQ43" s="45"/>
      <c r="AR43" s="9"/>
      <c r="AS43" s="9"/>
      <c r="AT43" s="9"/>
      <c r="AU43" s="9"/>
      <c r="AV43" s="9"/>
      <c r="AW43" s="9"/>
      <c r="AX43" s="9"/>
      <c r="AY43" s="9"/>
      <c r="AZ43" s="9"/>
      <c r="BA43" s="9"/>
      <c r="BB43" s="9"/>
      <c r="BC43" s="9"/>
      <c r="BD43" s="9"/>
      <c r="BE43" s="9"/>
      <c r="BF43" s="9"/>
      <c r="BG43" s="9"/>
      <c r="BH43" s="9"/>
      <c r="BI43" s="9"/>
      <c r="BJ43" s="9"/>
      <c r="BK43" s="9"/>
    </row>
    <row r="44" spans="1:63" ht="15" customHeight="1" x14ac:dyDescent="0.25">
      <c r="A44" s="9"/>
      <c r="B44" s="268"/>
      <c r="C44" s="270"/>
      <c r="D44" s="272"/>
      <c r="E44" s="220"/>
      <c r="F44" s="159" t="str">
        <f>+IF(C45="NO APLICA","NO APLICA",IF(C43=C45,IF(E45=E43,E45*(D45-D43)/2,IF(E45&gt;E43,(E43*(D45-D43)/2)+(((E45-E43)/2)*(D45-D43)/4),IF(E45&lt;E43,(E43-((E43-E45)/2))*(D45-D43)/2+(((E43-E45)/2)*(D45-D43)/4)))),IF(E45=E43,E45*2*(D45-D43)/2,IF(E45&gt;E43,E43*2*(D45-D43)/2+(((E45-E43))*2*(D45-D43)/4),IF(E45&lt;E43,E45*2*(D45-D43)/2+(((E43-E45))*2*(D45-D43)/4))))))</f>
        <v>NO APLICA</v>
      </c>
      <c r="G44" s="225"/>
      <c r="H44" s="273"/>
      <c r="I44" s="273"/>
      <c r="J44" s="17" t="str">
        <f>+IF(D45="NO APLICA","",D45)</f>
        <v/>
      </c>
      <c r="K44" s="17" t="str">
        <f>+H45</f>
        <v/>
      </c>
      <c r="L44" s="17" t="str">
        <f>+I45</f>
        <v/>
      </c>
      <c r="M44" s="214"/>
      <c r="N44" s="287"/>
      <c r="O44" s="287"/>
      <c r="P44" s="287"/>
      <c r="Q44" s="26"/>
      <c r="R44" s="288"/>
      <c r="S44" s="288"/>
      <c r="T44" s="288"/>
      <c r="U44" s="84"/>
      <c r="V44" s="84"/>
      <c r="W44" s="286"/>
      <c r="X44" s="220"/>
      <c r="Y44" s="285"/>
      <c r="Z44" s="286"/>
      <c r="AA44" s="220"/>
      <c r="AB44" s="285"/>
      <c r="AC44" s="286"/>
      <c r="AD44" s="220"/>
      <c r="AE44" s="285"/>
      <c r="AF44" s="277"/>
      <c r="AG44" s="278"/>
      <c r="AH44" s="278"/>
      <c r="AI44" s="280"/>
      <c r="AJ44" s="266"/>
      <c r="AK44" s="49"/>
      <c r="AL44" s="54" t="s">
        <v>41</v>
      </c>
      <c r="AM44" s="62" t="str">
        <f>+IF(O33="NO APLICA","",MAX(E25:E60))</f>
        <v/>
      </c>
      <c r="AN44" s="62" t="str">
        <f>+IF(AN45="",IF(AN46="","",AN46),AN45)</f>
        <v/>
      </c>
      <c r="AO44" s="62" t="str">
        <f>+IF(AO45="",IF(AO46="","",AO46*1.25),AO45*1.15)</f>
        <v/>
      </c>
      <c r="AP44" s="63" t="str">
        <f>+B33</f>
        <v>S/N</v>
      </c>
      <c r="AQ44" s="45"/>
      <c r="AR44" s="9"/>
      <c r="AS44" s="9"/>
      <c r="AT44" s="9"/>
      <c r="AU44" s="9"/>
      <c r="AV44" s="9"/>
      <c r="AW44" s="9"/>
      <c r="AX44" s="9"/>
      <c r="AY44" s="9"/>
      <c r="AZ44" s="9"/>
      <c r="BA44" s="9"/>
      <c r="BB44" s="9"/>
      <c r="BC44" s="9"/>
      <c r="BD44" s="9"/>
      <c r="BE44" s="9"/>
      <c r="BF44" s="9"/>
      <c r="BG44" s="9"/>
      <c r="BH44" s="9"/>
      <c r="BI44" s="9"/>
      <c r="BJ44" s="9"/>
      <c r="BK44" s="9"/>
    </row>
    <row r="45" spans="1:63" ht="15" customHeight="1" x14ac:dyDescent="0.25">
      <c r="A45" s="9"/>
      <c r="B45" s="267" t="str">
        <f>+IF(C45="NO APLICA","S/N",10)</f>
        <v>S/N</v>
      </c>
      <c r="C45" s="269" t="str">
        <f>+IF(C20&gt;6,C21,"NO APLICA")</f>
        <v>NO APLICA</v>
      </c>
      <c r="D45" s="271" t="str">
        <f>IF(C45="NO APLICA","NO APLICA",ROUND(C27+C29+C31+C33+C35+C37+C39+C41+C43+C45,2))</f>
        <v>NO APLICA</v>
      </c>
      <c r="E45" s="219"/>
      <c r="F45" s="159" t="str">
        <f>+IF(C45="NO APLICA","NO APLICA",IF(E45=E43,E45*(D45-D43)/2,IF(E45&gt;E43,(E45-((E45-E43)/2))*(D45-D43)/2+(((E45-E43)/2)*(D45-D43)/4),IF(E45&lt;E43,(E45*(D45-D43)/2)+(((E43-E45)/2)*(D45-D43)/4)))))</f>
        <v>NO APLICA</v>
      </c>
      <c r="G45" s="225" t="str">
        <f t="shared" ref="G45" si="65">+IF(F46="NO APLICA","NO APLICA",F45+F46)</f>
        <v>NO APLICA</v>
      </c>
      <c r="H45" s="273" t="str">
        <f t="shared" ref="H45" si="66">+IF(C45="NO APLICA","",MAX(E$25:E$60))</f>
        <v/>
      </c>
      <c r="I45" s="273" t="str">
        <f t="shared" ref="I45" si="67">+IF(C45="NO APLICA","",H45-E45)</f>
        <v/>
      </c>
      <c r="J45" s="23" t="str">
        <f>+IF(D47="NO APLICA","",IF(ROUND(D47-D45,1)=ROUND(D45-D43,1),(D45+D47)/2,D47))</f>
        <v/>
      </c>
      <c r="K45" s="23" t="str">
        <f>+IF(K44=K43,K44,"")</f>
        <v/>
      </c>
      <c r="L45" s="23" t="str">
        <f>+IF(C20=10,I47,IF(L46="","",(L44+L46)/2))</f>
        <v/>
      </c>
      <c r="M45" s="214"/>
      <c r="N45" s="287" t="str">
        <f>+IF(F46="NO APLICA","NO APLICA",IF(E45&gt;0.2,E45*0.2,"NO APLICA"))</f>
        <v>NO APLICA</v>
      </c>
      <c r="O45" s="287" t="str">
        <f>+IF(F46="NO APLICA","NO APLICA",IF(E45&gt;0,E45*0.6,"NO APLICA"))</f>
        <v>NO APLICA</v>
      </c>
      <c r="P45" s="287" t="str">
        <f>+IF(F46="NO APLICA","NO APLICA",IF(E45&gt;0.5,E45*0.8,"NO APLICA"))</f>
        <v>NO APLICA</v>
      </c>
      <c r="Q45" s="26"/>
      <c r="R45" s="288" t="str">
        <f>+IF(F46="NO APLICA","NO APLICA",IF(E45&gt;0.2,E45*0.8,"NO APLICA"))</f>
        <v>NO APLICA</v>
      </c>
      <c r="S45" s="288" t="str">
        <f>+IF(F46="NO APLICA","NO APLICA",IF(E45&gt;0,E45*0.4,"NO APLICA"))</f>
        <v>NO APLICA</v>
      </c>
      <c r="T45" s="288" t="str">
        <f>+IF(F46="NO APLICA","NO APLICA",IF(E45&gt;0.5,E45*0.2,"NO APLICA"))</f>
        <v>NO APLICA</v>
      </c>
      <c r="U45" s="84"/>
      <c r="V45" s="84"/>
      <c r="W45" s="283"/>
      <c r="X45" s="219"/>
      <c r="Y45" s="275"/>
      <c r="Z45" s="283"/>
      <c r="AA45" s="219"/>
      <c r="AB45" s="275"/>
      <c r="AC45" s="283"/>
      <c r="AD45" s="219"/>
      <c r="AE45" s="275"/>
      <c r="AF45" s="277" t="str">
        <f t="shared" ref="AF45" si="68">+IF(OR(ISNUMBER(W45),ISNUMBER(X45),ISNUMBER(Y45)),AVERAGE(W45:Y46),"NO APLICA")</f>
        <v>NO APLICA</v>
      </c>
      <c r="AG45" s="278" t="str">
        <f t="shared" ref="AG45" si="69">+IF(OR(ISNUMBER(Z45),ISNUMBER(AA45),ISNUMBER(AB45)),AVERAGE(Z45:AB46),"NO APLICA")</f>
        <v>NO APLICA</v>
      </c>
      <c r="AH45" s="278" t="str">
        <f t="shared" ref="AH45" si="70">+IF(OR(ISNUMBER(AC45),ISNUMBER(AD45),ISNUMBER(AE45)),AVERAGE(AC45:AE46),"NO APLICA")</f>
        <v>NO APLICA</v>
      </c>
      <c r="AI45" s="279" t="str">
        <f t="shared" ref="AI45" si="71">IF(F46="NO APLICA","NO APLICA",IF(E45&gt;0.5,IF(OR(ISTEXT(AF45),ISTEXT(AG45),ISTEXT(AH45)),"FALTAN DATOS",(AF45+2*AG45+AH45)/4),IF(E45&gt;0.2,IF(OR(ISTEXT(AF45),ISTEXT(AG45)),"FALTAN DATOS",(AF45+AG45)/2),IF(E45&gt;0,IF(ISTEXT(AG45),"FALTAN DATOS",AG45),"NO APLICA"))))</f>
        <v>NO APLICA</v>
      </c>
      <c r="AJ45" s="266" t="str">
        <f t="shared" ref="AJ45" si="72">+IF(OR(AI45="FALTAN DATOS",AI45="NO APLICA"),"NO APLICA",AI45*G45)</f>
        <v>NO APLICA</v>
      </c>
      <c r="AK45" s="49"/>
      <c r="AL45" s="55" t="s">
        <v>42</v>
      </c>
      <c r="AM45" s="66" t="str">
        <f>+IF(N33="NO APLICA","",MAX(E25:E60)-E33*0.2)</f>
        <v/>
      </c>
      <c r="AN45" s="66" t="str">
        <f>+IF(N33="NO APLICA","",D33)</f>
        <v/>
      </c>
      <c r="AO45" s="66" t="str">
        <f>+IF(N33="NO APLICA","",AF33)</f>
        <v/>
      </c>
      <c r="AP45" s="67" t="str">
        <f>+B33</f>
        <v>S/N</v>
      </c>
      <c r="AQ45" s="45"/>
      <c r="AR45" s="9"/>
      <c r="AS45" s="9"/>
      <c r="AT45" s="9"/>
      <c r="AU45" s="9"/>
      <c r="AV45" s="9"/>
      <c r="AW45" s="9"/>
      <c r="AX45" s="9"/>
      <c r="AY45" s="9"/>
      <c r="AZ45" s="9"/>
      <c r="BA45" s="9"/>
      <c r="BB45" s="9"/>
      <c r="BC45" s="9"/>
      <c r="BD45" s="9"/>
      <c r="BE45" s="9"/>
      <c r="BF45" s="9"/>
      <c r="BG45" s="9"/>
      <c r="BH45" s="9"/>
      <c r="BI45" s="9"/>
      <c r="BJ45" s="9"/>
      <c r="BK45" s="9"/>
    </row>
    <row r="46" spans="1:63" ht="15" customHeight="1" x14ac:dyDescent="0.25">
      <c r="A46" s="9"/>
      <c r="B46" s="268"/>
      <c r="C46" s="270"/>
      <c r="D46" s="272"/>
      <c r="E46" s="220"/>
      <c r="F46" s="159" t="str">
        <f>+IF(C47="NO APLICA","NO APLICA",IF(C45=C47,IF(E47=E45,E47*(D47-D45)/2,IF(E47&gt;E45,(E45*(D47-D45)/2)+(((E47-E45)/2)*(D47-D45)/4),IF(E47&lt;E45,(E45-((E45-E47)/2))*(D47-D45)/2+(((E45-E47)/2)*(D47-D45)/4)))),IF(E47=E45,E47*2*(D47-D45)/2,IF(E47&gt;E45,E45*2*(D47-D45)/2+(((E47-E45))*2*(D47-D45)/4),IF(E47&lt;E45,E47*2*(D47-D45)/2+(((E45-E47))*2*(D47-D45)/4))))))</f>
        <v>NO APLICA</v>
      </c>
      <c r="G46" s="225"/>
      <c r="H46" s="273"/>
      <c r="I46" s="273"/>
      <c r="J46" s="17" t="str">
        <f>+IF(D49="NO APLICA","",D47)</f>
        <v/>
      </c>
      <c r="K46" s="17" t="str">
        <f>IF(C49="NO APLICA","",H47)</f>
        <v/>
      </c>
      <c r="L46" s="17" t="str">
        <f>IF(C49="NO APLICA","",I47)</f>
        <v/>
      </c>
      <c r="M46" s="214"/>
      <c r="N46" s="287"/>
      <c r="O46" s="287"/>
      <c r="P46" s="287"/>
      <c r="Q46" s="26"/>
      <c r="R46" s="288"/>
      <c r="S46" s="288"/>
      <c r="T46" s="288"/>
      <c r="U46" s="84"/>
      <c r="V46" s="84"/>
      <c r="W46" s="286"/>
      <c r="X46" s="220"/>
      <c r="Y46" s="285"/>
      <c r="Z46" s="286"/>
      <c r="AA46" s="220"/>
      <c r="AB46" s="285"/>
      <c r="AC46" s="286"/>
      <c r="AD46" s="220"/>
      <c r="AE46" s="285"/>
      <c r="AF46" s="277"/>
      <c r="AG46" s="278"/>
      <c r="AH46" s="278"/>
      <c r="AI46" s="280"/>
      <c r="AJ46" s="266"/>
      <c r="AK46" s="49"/>
      <c r="AL46" s="55" t="s">
        <v>43</v>
      </c>
      <c r="AM46" s="66" t="str">
        <f>+IF(O33="NO APLICA","",MAX(E25:E60)-E33*0.6)</f>
        <v/>
      </c>
      <c r="AN46" s="66" t="str">
        <f>+IF(O33="NO APLICA","",D33)</f>
        <v/>
      </c>
      <c r="AO46" s="66" t="str">
        <f>+IF(O33="NO APLICA","",AG33)</f>
        <v/>
      </c>
      <c r="AP46" s="67" t="str">
        <f>+B33</f>
        <v>S/N</v>
      </c>
      <c r="AQ46" s="45"/>
      <c r="AR46" s="83"/>
      <c r="AS46" s="9"/>
      <c r="AT46" s="9"/>
      <c r="AU46" s="9"/>
      <c r="AV46" s="9"/>
      <c r="AW46" s="9"/>
      <c r="AX46" s="9"/>
      <c r="AY46" s="9"/>
      <c r="AZ46" s="9"/>
      <c r="BA46" s="9"/>
      <c r="BB46" s="9"/>
      <c r="BC46" s="9"/>
      <c r="BD46" s="9"/>
      <c r="BE46" s="9"/>
      <c r="BF46" s="9"/>
      <c r="BG46" s="9"/>
      <c r="BH46" s="9"/>
      <c r="BI46" s="9"/>
      <c r="BJ46" s="9"/>
      <c r="BK46" s="9"/>
    </row>
    <row r="47" spans="1:63" ht="15" customHeight="1" x14ac:dyDescent="0.25">
      <c r="A47" s="9"/>
      <c r="B47" s="267" t="str">
        <f>+IF(C47="NO APLICA","S/N",IF(C45&gt;C47,"Final",11))</f>
        <v>S/N</v>
      </c>
      <c r="C47" s="269" t="str">
        <f>+IF(C20=10,C21/2,IF(C20&gt;10,C21,"NO APLICA"))</f>
        <v>NO APLICA</v>
      </c>
      <c r="D47" s="271" t="str">
        <f>IF(C47="NO APLICA","NO APLICA",ROUND(C27+C29+C31+C33+C35+C37+C39+C41+C43+C45+C47,2))</f>
        <v>NO APLICA</v>
      </c>
      <c r="E47" s="219"/>
      <c r="F47" s="159" t="str">
        <f>+IF(C47="NO APLICA","NO APLICA",IF(E47=E45,E47*(D47-D45)/2,IF(E47&gt;E45,(E47-((E47-E45)/2))*(D47-D45)/2+(((E47-E45)/2)*(D47-D45)/4),IF(E47&lt;E45,(E47*(D47-D45)/2)+(((E45-E47)/2)*(D47-D45)/4)))))</f>
        <v>NO APLICA</v>
      </c>
      <c r="G47" s="225" t="str">
        <f t="shared" ref="G47" si="73">+IF(F48="NO APLICA","NO APLICA",F47+F48)</f>
        <v>NO APLICA</v>
      </c>
      <c r="H47" s="273" t="str">
        <f t="shared" ref="H47" si="74">+IF(C47="NO APLICA","",MAX(E$25:E$60))</f>
        <v/>
      </c>
      <c r="I47" s="273" t="str">
        <f t="shared" ref="I47" si="75">+IF(C47="NO APLICA","",H47-E47)</f>
        <v/>
      </c>
      <c r="J47" s="23" t="str">
        <f>+IF(D49="NO APLICA","",IF(ROUND(D49-D47,1)=ROUND(D47-D45,1),(D47+D49)/2,D49))</f>
        <v/>
      </c>
      <c r="K47" s="23" t="str">
        <f>+IF(K46=K45,K46,"")</f>
        <v/>
      </c>
      <c r="L47" s="23" t="str">
        <f>+IF(L48="","",(L46+L48)/2)</f>
        <v/>
      </c>
      <c r="M47" s="214"/>
      <c r="N47" s="287" t="str">
        <f>+IF(F48="NO APLICA","NO APLICA",IF(E47&gt;0.2,E47*0.2,"NO APLICA"))</f>
        <v>NO APLICA</v>
      </c>
      <c r="O47" s="287" t="str">
        <f>+IF(F48="NO APLICA","NO APLICA",IF(E47&gt;0,E47*0.6,"NO APLICA"))</f>
        <v>NO APLICA</v>
      </c>
      <c r="P47" s="287" t="str">
        <f>+IF(F48="NO APLICA","NO APLICA",IF(E47&gt;0.5,E47*0.8,"NO APLICA"))</f>
        <v>NO APLICA</v>
      </c>
      <c r="Q47" s="26"/>
      <c r="R47" s="288" t="str">
        <f>+IF(F48="NO APLICA","NO APLICA",IF(E47&gt;0.2,E47*0.8,"NO APLICA"))</f>
        <v>NO APLICA</v>
      </c>
      <c r="S47" s="288" t="str">
        <f>+IF(F48="NO APLICA","NO APLICA",IF(E47&gt;0,E47*0.4,"NO APLICA"))</f>
        <v>NO APLICA</v>
      </c>
      <c r="T47" s="288" t="str">
        <f>+IF(F48="NO APLICA","NO APLICA",IF(E47&gt;0.5,E47*0.2,"NO APLICA"))</f>
        <v>NO APLICA</v>
      </c>
      <c r="U47" s="84"/>
      <c r="V47" s="84"/>
      <c r="W47" s="283"/>
      <c r="X47" s="219"/>
      <c r="Y47" s="275"/>
      <c r="Z47" s="283"/>
      <c r="AA47" s="219"/>
      <c r="AB47" s="275"/>
      <c r="AC47" s="283"/>
      <c r="AD47" s="219"/>
      <c r="AE47" s="275"/>
      <c r="AF47" s="277" t="str">
        <f t="shared" ref="AF47" si="76">+IF(OR(ISNUMBER(W47),ISNUMBER(X47),ISNUMBER(Y47)),AVERAGE(W47:Y48),"NO APLICA")</f>
        <v>NO APLICA</v>
      </c>
      <c r="AG47" s="278" t="str">
        <f t="shared" ref="AG47" si="77">+IF(OR(ISNUMBER(Z47),ISNUMBER(AA47),ISNUMBER(AB47)),AVERAGE(Z47:AB48),"NO APLICA")</f>
        <v>NO APLICA</v>
      </c>
      <c r="AH47" s="278" t="str">
        <f t="shared" ref="AH47" si="78">+IF(OR(ISNUMBER(AC47),ISNUMBER(AD47),ISNUMBER(AE47)),AVERAGE(AC47:AE48),"NO APLICA")</f>
        <v>NO APLICA</v>
      </c>
      <c r="AI47" s="279" t="str">
        <f t="shared" ref="AI47" si="79">IF(F48="NO APLICA","NO APLICA",IF(E47&gt;0.5,IF(OR(ISTEXT(AF47),ISTEXT(AG47),ISTEXT(AH47)),"FALTAN DATOS",(AF47+2*AG47+AH47)/4),IF(E47&gt;0.2,IF(OR(ISTEXT(AF47),ISTEXT(AG47)),"FALTAN DATOS",(AF47+AG47)/2),IF(E47&gt;0,IF(ISTEXT(AG47),"FALTAN DATOS",AG47),"NO APLICA"))))</f>
        <v>NO APLICA</v>
      </c>
      <c r="AJ47" s="266" t="str">
        <f t="shared" ref="AJ47" si="80">+IF(OR(AI47="FALTAN DATOS",AI47="NO APLICA"),"NO APLICA",AI47*G47)</f>
        <v>NO APLICA</v>
      </c>
      <c r="AK47" s="49"/>
      <c r="AL47" s="55" t="s">
        <v>44</v>
      </c>
      <c r="AM47" s="66" t="str">
        <f>+IF(P33="NO APLICA","",MAX(E25:E60)-E33*0.8)</f>
        <v/>
      </c>
      <c r="AN47" s="66" t="str">
        <f>+IF(P33="NO APLICA","",D33)</f>
        <v/>
      </c>
      <c r="AO47" s="66" t="str">
        <f>+IF(P33="NO APLICA","",AH33)</f>
        <v/>
      </c>
      <c r="AP47" s="67" t="str">
        <f>+B33</f>
        <v>S/N</v>
      </c>
      <c r="AQ47" s="45"/>
      <c r="AR47" s="83"/>
      <c r="AS47" s="9"/>
      <c r="AT47" s="9"/>
      <c r="AU47" s="9"/>
      <c r="AV47" s="9"/>
      <c r="AW47" s="9"/>
      <c r="AX47" s="9"/>
      <c r="AY47" s="9"/>
      <c r="AZ47" s="9"/>
      <c r="BA47" s="9"/>
      <c r="BB47" s="9"/>
      <c r="BC47" s="9"/>
      <c r="BD47" s="9"/>
      <c r="BE47" s="9"/>
      <c r="BF47" s="9"/>
      <c r="BG47" s="9"/>
      <c r="BH47" s="9"/>
      <c r="BI47" s="9"/>
      <c r="BJ47" s="9"/>
      <c r="BK47" s="9"/>
    </row>
    <row r="48" spans="1:63" ht="15" customHeight="1" x14ac:dyDescent="0.25">
      <c r="A48" s="9"/>
      <c r="B48" s="268"/>
      <c r="C48" s="270"/>
      <c r="D48" s="272"/>
      <c r="E48" s="220"/>
      <c r="F48" s="159" t="str">
        <f>+IF(C49="NO APLICA","NO APLICA",IF(C47=C49,IF(E49=E47,E49*(D49-D47)/2,IF(E49&gt;E47,(E47*(D49-D47)/2)+(((E49-E47)/2)*(D49-D47)/4),IF(E49&lt;E47,(E47-((E47-E49)/2))*(D49-D47)/2+(((E47-E49)/2)*(D49-D47)/4)))),IF(E49=E47,E49*2*(D49-D47)/2,IF(E49&gt;E47,E47*2*(D49-D47)/2+(((E49-E47))*2*(D49-D47)/4),IF(E49&lt;E47,E49*2*(D49-D47)/2+(((E47-E49))*2*(D49-D47)/4))))))</f>
        <v>NO APLICA</v>
      </c>
      <c r="G48" s="225"/>
      <c r="H48" s="273"/>
      <c r="I48" s="273"/>
      <c r="J48" s="17" t="str">
        <f>+IF(D49="NO APLICA","",D49)</f>
        <v/>
      </c>
      <c r="K48" s="17" t="str">
        <f>+H49</f>
        <v/>
      </c>
      <c r="L48" s="17" t="str">
        <f>+I49</f>
        <v/>
      </c>
      <c r="M48" s="214"/>
      <c r="N48" s="287"/>
      <c r="O48" s="287"/>
      <c r="P48" s="287"/>
      <c r="Q48" s="26"/>
      <c r="R48" s="288"/>
      <c r="S48" s="288"/>
      <c r="T48" s="288"/>
      <c r="U48" s="84"/>
      <c r="V48" s="84"/>
      <c r="W48" s="286"/>
      <c r="X48" s="220"/>
      <c r="Y48" s="285"/>
      <c r="Z48" s="286"/>
      <c r="AA48" s="220"/>
      <c r="AB48" s="285"/>
      <c r="AC48" s="286"/>
      <c r="AD48" s="220"/>
      <c r="AE48" s="285"/>
      <c r="AF48" s="277"/>
      <c r="AG48" s="278"/>
      <c r="AH48" s="278"/>
      <c r="AI48" s="280"/>
      <c r="AJ48" s="266"/>
      <c r="AK48" s="49"/>
      <c r="AL48" s="55" t="s">
        <v>52</v>
      </c>
      <c r="AM48" s="68" t="str">
        <f>+IF(AM47="",IF(AM46="","",(AM44-AM49)*0.1+AM49),(AM44-AM49)*0.1+AM49)</f>
        <v/>
      </c>
      <c r="AN48" s="68" t="str">
        <f>+IF(AN47="",IF(AN46="","",AN46),AN47)</f>
        <v/>
      </c>
      <c r="AO48" s="68" t="str">
        <f>+IF(AO47="",IF(AO46="","",AO46*0.75),AO47*0.85)</f>
        <v/>
      </c>
      <c r="AP48" s="64" t="str">
        <f>+B33</f>
        <v>S/N</v>
      </c>
      <c r="AQ48" s="9"/>
      <c r="AR48" s="83"/>
      <c r="AS48" s="9"/>
      <c r="AT48" s="9"/>
      <c r="AU48" s="9"/>
      <c r="AV48" s="9"/>
      <c r="AW48" s="9"/>
      <c r="AX48" s="9"/>
      <c r="AY48" s="9"/>
      <c r="AZ48" s="9"/>
      <c r="BA48" s="9"/>
      <c r="BB48" s="9"/>
      <c r="BC48" s="9"/>
      <c r="BD48" s="9"/>
      <c r="BE48" s="9"/>
      <c r="BF48" s="9"/>
      <c r="BG48" s="9"/>
      <c r="BH48" s="9"/>
      <c r="BI48" s="9"/>
      <c r="BJ48" s="9"/>
      <c r="BK48" s="9"/>
    </row>
    <row r="49" spans="1:63" ht="15" customHeight="1" x14ac:dyDescent="0.25">
      <c r="A49" s="9"/>
      <c r="B49" s="267" t="str">
        <f>+IF(C49="NO APLICA","S/N",12)</f>
        <v>S/N</v>
      </c>
      <c r="C49" s="269" t="str">
        <f>+IF(C20&gt;10,C21,"NO APLICA")</f>
        <v>NO APLICA</v>
      </c>
      <c r="D49" s="271" t="str">
        <f>IF(C49="NO APLICA","NO APLICA",ROUND(C27+C29+C31+C33+C35+C37+C39+C41+C43+C45+C47+C49,2))</f>
        <v>NO APLICA</v>
      </c>
      <c r="E49" s="219"/>
      <c r="F49" s="159" t="str">
        <f>+IF(C49="NO APLICA","NO APLICA",IF(E49=E47,E49*(D49-D47)/2,IF(E49&gt;E47,(E49-((E49-E47)/2))*(D49-D47)/2+(((E49-E47)/2)*(D49-D47)/4),IF(E49&lt;E47,(E49*(D49-D47)/2)+(((E47-E49)/2)*(D49-D47)/4)))))</f>
        <v>NO APLICA</v>
      </c>
      <c r="G49" s="225" t="str">
        <f t="shared" ref="G49" si="81">+IF(F50="NO APLICA","NO APLICA",F49+F50)</f>
        <v>NO APLICA</v>
      </c>
      <c r="H49" s="273" t="str">
        <f t="shared" ref="H49" si="82">+IF(C49="NO APLICA","",MAX(E$25:E$60))</f>
        <v/>
      </c>
      <c r="I49" s="273" t="str">
        <f t="shared" ref="I49" si="83">+IF(C49="NO APLICA","",H49-E49)</f>
        <v/>
      </c>
      <c r="J49" s="23" t="str">
        <f>+IF(D51="NO APLICA","",IF(ROUND(D51-D49,1)=ROUND(D49-D47,1),(D49+D51)/2,D51))</f>
        <v/>
      </c>
      <c r="K49" s="23" t="str">
        <f>+IF(K48=K47,K48,"")</f>
        <v/>
      </c>
      <c r="L49" s="23" t="str">
        <f>+IF(L50="","",(L48+L50)/2)</f>
        <v/>
      </c>
      <c r="M49" s="214"/>
      <c r="N49" s="287" t="str">
        <f>+IF(F50="NO APLICA","NO APLICA",IF(E49&gt;0.2,E49*0.2,"NO APLICA"))</f>
        <v>NO APLICA</v>
      </c>
      <c r="O49" s="287" t="str">
        <f>+IF(F50="NO APLICA","NO APLICA",IF(E49&gt;0,E49*0.6,"NO APLICA"))</f>
        <v>NO APLICA</v>
      </c>
      <c r="P49" s="287" t="str">
        <f>+IF(F50="NO APLICA","NO APLICA",IF(E49&gt;0.5,E49*0.8,"NO APLICA"))</f>
        <v>NO APLICA</v>
      </c>
      <c r="Q49" s="26"/>
      <c r="R49" s="288" t="str">
        <f>+IF(F50="NO APLICA","NO APLICA",IF(E49&gt;0.2,E49*0.8,"NO APLICA"))</f>
        <v>NO APLICA</v>
      </c>
      <c r="S49" s="288" t="str">
        <f>+IF(F50="NO APLICA","NO APLICA",IF(E49&gt;0,E49*0.4,"NO APLICA"))</f>
        <v>NO APLICA</v>
      </c>
      <c r="T49" s="288" t="str">
        <f>+IF(F50="NO APLICA","NO APLICA",IF(E49&gt;0.5,E49*0.2,"NO APLICA"))</f>
        <v>NO APLICA</v>
      </c>
      <c r="U49" s="84"/>
      <c r="V49" s="84"/>
      <c r="W49" s="283"/>
      <c r="X49" s="219"/>
      <c r="Y49" s="275"/>
      <c r="Z49" s="283"/>
      <c r="AA49" s="219"/>
      <c r="AB49" s="275"/>
      <c r="AC49" s="283"/>
      <c r="AD49" s="219"/>
      <c r="AE49" s="275"/>
      <c r="AF49" s="277" t="str">
        <f t="shared" ref="AF49" si="84">+IF(OR(ISNUMBER(W49),ISNUMBER(X49),ISNUMBER(Y49)),AVERAGE(W49:Y50),"NO APLICA")</f>
        <v>NO APLICA</v>
      </c>
      <c r="AG49" s="278" t="str">
        <f t="shared" ref="AG49" si="85">+IF(OR(ISNUMBER(Z49),ISNUMBER(AA49),ISNUMBER(AB49)),AVERAGE(Z49:AB50),"NO APLICA")</f>
        <v>NO APLICA</v>
      </c>
      <c r="AH49" s="278" t="str">
        <f t="shared" ref="AH49" si="86">+IF(OR(ISNUMBER(AC49),ISNUMBER(AD49),ISNUMBER(AE49)),AVERAGE(AC49:AE50),"NO APLICA")</f>
        <v>NO APLICA</v>
      </c>
      <c r="AI49" s="279" t="str">
        <f t="shared" ref="AI49" si="87">IF(F50="NO APLICA","NO APLICA",IF(E49&gt;0.5,IF(OR(ISTEXT(AF49),ISTEXT(AG49),ISTEXT(AH49)),"FALTAN DATOS",(AF49+2*AG49+AH49)/4),IF(E49&gt;0.2,IF(OR(ISTEXT(AF49),ISTEXT(AG49)),"FALTAN DATOS",(AF49+AG49)/2),IF(E49&gt;0,IF(ISTEXT(AG49),"FALTAN DATOS",AG49),"NO APLICA"))))</f>
        <v>NO APLICA</v>
      </c>
      <c r="AJ49" s="266" t="str">
        <f t="shared" ref="AJ49" si="88">+IF(OR(AI49="FALTAN DATOS",AI49="NO APLICA"),"NO APLICA",AI49*G49)</f>
        <v>NO APLICA</v>
      </c>
      <c r="AK49" s="49"/>
      <c r="AL49" s="56" t="s">
        <v>45</v>
      </c>
      <c r="AM49" s="70" t="str">
        <f>+IF(C33="NO APLICA","",IF(C31=C33*2,MAX(E25:E60)-E33,IF(O33="NO APLICA","",MAX(E25:E60)-E33)))</f>
        <v/>
      </c>
      <c r="AN49" s="70" t="str">
        <f>+IF(C33="NO APLICA","",IF(C31=C33*2,D33,IF(O33="NO APLICA","",D33)))</f>
        <v/>
      </c>
      <c r="AO49" s="70" t="str">
        <f>+IF(C33="NO APLICA","",IF(C31=C33*2,0,IF(O33="NO APLICA","",0)))</f>
        <v/>
      </c>
      <c r="AP49" s="71" t="str">
        <f>+B33</f>
        <v>S/N</v>
      </c>
      <c r="AQ49" s="45"/>
      <c r="AR49" s="83"/>
      <c r="AS49" s="9"/>
      <c r="AT49" s="9"/>
      <c r="AU49" s="9"/>
      <c r="AV49" s="9"/>
      <c r="AW49" s="9"/>
      <c r="AX49" s="9"/>
      <c r="AY49" s="9"/>
      <c r="AZ49" s="9"/>
      <c r="BA49" s="9"/>
      <c r="BB49" s="9"/>
      <c r="BC49" s="9"/>
      <c r="BD49" s="9"/>
      <c r="BE49" s="9"/>
      <c r="BF49" s="9"/>
      <c r="BG49" s="9"/>
      <c r="BH49" s="9"/>
      <c r="BI49" s="9"/>
      <c r="BJ49" s="9"/>
      <c r="BK49" s="9"/>
    </row>
    <row r="50" spans="1:63" ht="15" customHeight="1" x14ac:dyDescent="0.25">
      <c r="A50" s="9"/>
      <c r="B50" s="268"/>
      <c r="C50" s="270"/>
      <c r="D50" s="272"/>
      <c r="E50" s="220"/>
      <c r="F50" s="159" t="str">
        <f>+IF(C51="NO APLICA","NO APLICA",IF(C49=C51,IF(E51=E49,E51*(D51-D49)/2,IF(E51&gt;E49,(E49*(D51-D49)/2)+(((E51-E49)/2)*(D51-D49)/4),IF(E51&lt;E49,(E49-((E49-E51)/2))*(D51-D49)/2+(((E49-E51)/2)*(D51-D49)/4)))),IF(E51=E49,E51*2*(D51-D49)/2,IF(E51&gt;E49,E49*2*(D51-D49)/2+(((E51-E49))*2*(D51-D49)/4),IF(E51&lt;E49,E51*2*(D51-D49)/2+(((E49-E51))*2*(D51-D49)/4))))))</f>
        <v>NO APLICA</v>
      </c>
      <c r="G50" s="225"/>
      <c r="H50" s="273"/>
      <c r="I50" s="273"/>
      <c r="J50" s="17" t="str">
        <f>+IF(D51="NO APLICA","",D51)</f>
        <v/>
      </c>
      <c r="K50" s="17" t="str">
        <f>+H51</f>
        <v/>
      </c>
      <c r="L50" s="17" t="str">
        <f>+I51</f>
        <v/>
      </c>
      <c r="M50" s="214"/>
      <c r="N50" s="287"/>
      <c r="O50" s="287"/>
      <c r="P50" s="287"/>
      <c r="Q50" s="26"/>
      <c r="R50" s="288"/>
      <c r="S50" s="288"/>
      <c r="T50" s="288"/>
      <c r="U50" s="84"/>
      <c r="V50" s="84"/>
      <c r="W50" s="286"/>
      <c r="X50" s="220"/>
      <c r="Y50" s="285"/>
      <c r="Z50" s="286"/>
      <c r="AA50" s="220"/>
      <c r="AB50" s="285"/>
      <c r="AC50" s="286"/>
      <c r="AD50" s="220"/>
      <c r="AE50" s="285"/>
      <c r="AF50" s="277"/>
      <c r="AG50" s="278"/>
      <c r="AH50" s="278"/>
      <c r="AI50" s="280"/>
      <c r="AJ50" s="266"/>
      <c r="AK50" s="49"/>
      <c r="AL50" s="54" t="s">
        <v>41</v>
      </c>
      <c r="AM50" s="62" t="str">
        <f>+IF(O35="NO APLICA","",MAX(E25:E60))</f>
        <v/>
      </c>
      <c r="AN50" s="62" t="str">
        <f>+IF(AN51="",IF(AN52="","",AN52),AN51)</f>
        <v/>
      </c>
      <c r="AO50" s="62" t="str">
        <f>+IF(AO51="",IF(AO52="","",AO52*1.25),AO51*1.15)</f>
        <v/>
      </c>
      <c r="AP50" s="63" t="str">
        <f>+B35</f>
        <v>S/N</v>
      </c>
      <c r="AQ50" s="44"/>
      <c r="AR50" s="83"/>
      <c r="AS50" s="9"/>
      <c r="AT50" s="9"/>
      <c r="AU50" s="9"/>
      <c r="AV50" s="9"/>
      <c r="AW50" s="9"/>
      <c r="AX50" s="9"/>
      <c r="AY50" s="9"/>
      <c r="AZ50" s="9"/>
      <c r="BA50" s="9"/>
      <c r="BB50" s="9"/>
      <c r="BC50" s="9"/>
      <c r="BD50" s="9"/>
      <c r="BE50" s="9"/>
      <c r="BF50" s="9"/>
      <c r="BG50" s="9"/>
      <c r="BH50" s="9"/>
      <c r="BI50" s="9"/>
      <c r="BJ50" s="9"/>
      <c r="BK50" s="9"/>
    </row>
    <row r="51" spans="1:63" ht="15" customHeight="1" x14ac:dyDescent="0.25">
      <c r="A51" s="9"/>
      <c r="B51" s="267" t="str">
        <f>+IF(C51="NO APLICA","S/N",13)</f>
        <v>S/N</v>
      </c>
      <c r="C51" s="269" t="str">
        <f>+IF(C20&gt;10,C21,"NO APLICA")</f>
        <v>NO APLICA</v>
      </c>
      <c r="D51" s="271" t="str">
        <f>IF(C51="NO APLICA","NO APLICA",ROUND(C27+C29+C31+C33+C35+C37+C39+C41+C43+C45+C47+C49+C51,2))</f>
        <v>NO APLICA</v>
      </c>
      <c r="E51" s="219"/>
      <c r="F51" s="159" t="str">
        <f>+IF(C51="NO APLICA","NO APLICA",IF(E51=E49,E51*(D51-D49)/2,IF(E51&gt;E49,(E51-((E51-E49)/2))*(D51-D49)/2+(((E51-E49)/2)*(D51-D49)/4),IF(E51&lt;E49,(E51*(D51-D49)/2)+(((E49-E51)/2)*(D51-D49)/4)))))</f>
        <v>NO APLICA</v>
      </c>
      <c r="G51" s="225" t="str">
        <f t="shared" ref="G51" si="89">+IF(F52="NO APLICA","NO APLICA",F51+F52)</f>
        <v>NO APLICA</v>
      </c>
      <c r="H51" s="273" t="str">
        <f t="shared" ref="H51" si="90">+IF(C51="NO APLICA","",MAX(E$25:E$60))</f>
        <v/>
      </c>
      <c r="I51" s="273" t="str">
        <f t="shared" ref="I51" si="91">+IF(C51="NO APLICA","",H51-E51)</f>
        <v/>
      </c>
      <c r="J51" s="23" t="str">
        <f>+IF(D53="NO APLICA","",IF(ROUND(D53-D51,1)=ROUND(D51-D49,1),(D51+D53)/2,D53))</f>
        <v/>
      </c>
      <c r="K51" s="23" t="str">
        <f>+IF(K50=K49,K50,"")</f>
        <v/>
      </c>
      <c r="L51" s="23" t="str">
        <f>+IF(L52="","",(L50+L52)/2)</f>
        <v/>
      </c>
      <c r="M51" s="214"/>
      <c r="N51" s="287" t="str">
        <f>+IF(F52="NO APLICA","NO APLICA",IF(E51&gt;0.2,E51*0.2,"NO APLICA"))</f>
        <v>NO APLICA</v>
      </c>
      <c r="O51" s="287" t="str">
        <f>+IF(F52="NO APLICA","NO APLICA",IF(E51&gt;0,E51*0.6,"NO APLICA"))</f>
        <v>NO APLICA</v>
      </c>
      <c r="P51" s="287" t="str">
        <f>+IF(F52="NO APLICA","NO APLICA",IF(E51&gt;0.5,E51*0.8,"NO APLICA"))</f>
        <v>NO APLICA</v>
      </c>
      <c r="Q51" s="26"/>
      <c r="R51" s="288" t="str">
        <f>+IF(F52="NO APLICA","NO APLICA",IF(E51&gt;0.2,E51*0.8,"NO APLICA"))</f>
        <v>NO APLICA</v>
      </c>
      <c r="S51" s="288" t="str">
        <f>+IF(F52="NO APLICA","NO APLICA",IF(E51&gt;0,E51*0.4,"NO APLICA"))</f>
        <v>NO APLICA</v>
      </c>
      <c r="T51" s="288" t="str">
        <f>+IF(F52="NO APLICA","NO APLICA",IF(E51&gt;0.5,E51*0.2,"NO APLICA"))</f>
        <v>NO APLICA</v>
      </c>
      <c r="U51" s="84"/>
      <c r="V51" s="84"/>
      <c r="W51" s="283"/>
      <c r="X51" s="219"/>
      <c r="Y51" s="275"/>
      <c r="Z51" s="283"/>
      <c r="AA51" s="219"/>
      <c r="AB51" s="275"/>
      <c r="AC51" s="283"/>
      <c r="AD51" s="219"/>
      <c r="AE51" s="275"/>
      <c r="AF51" s="277" t="str">
        <f t="shared" ref="AF51" si="92">+IF(OR(ISNUMBER(W51),ISNUMBER(X51),ISNUMBER(Y51)),AVERAGE(W51:Y52),"NO APLICA")</f>
        <v>NO APLICA</v>
      </c>
      <c r="AG51" s="278" t="str">
        <f t="shared" ref="AG51" si="93">+IF(OR(ISNUMBER(Z51),ISNUMBER(AA51),ISNUMBER(AB51)),AVERAGE(Z51:AB52),"NO APLICA")</f>
        <v>NO APLICA</v>
      </c>
      <c r="AH51" s="278" t="str">
        <f t="shared" ref="AH51" si="94">+IF(OR(ISNUMBER(AC51),ISNUMBER(AD51),ISNUMBER(AE51)),AVERAGE(AC51:AE52),"NO APLICA")</f>
        <v>NO APLICA</v>
      </c>
      <c r="AI51" s="279" t="str">
        <f t="shared" ref="AI51" si="95">IF(F52="NO APLICA","NO APLICA",IF(E51&gt;0.5,IF(OR(ISTEXT(AF51),ISTEXT(AG51),ISTEXT(AH51)),"FALTAN DATOS",(AF51+2*AG51+AH51)/4),IF(E51&gt;0.2,IF(OR(ISTEXT(AF51),ISTEXT(AG51)),"FALTAN DATOS",(AF51+AG51)/2),IF(E51&gt;0,IF(ISTEXT(AG51),"FALTAN DATOS",AG51),"NO APLICA"))))</f>
        <v>NO APLICA</v>
      </c>
      <c r="AJ51" s="266" t="str">
        <f t="shared" ref="AJ51" si="96">+IF(OR(AI51="FALTAN DATOS",AI51="NO APLICA"),"NO APLICA",AI51*G51)</f>
        <v>NO APLICA</v>
      </c>
      <c r="AK51" s="49"/>
      <c r="AL51" s="55" t="s">
        <v>42</v>
      </c>
      <c r="AM51" s="66" t="str">
        <f>+IF(N35="NO APLICA","",MAX(E25:E60)-E35*0.2)</f>
        <v/>
      </c>
      <c r="AN51" s="66" t="str">
        <f>+IF(N35="NO APLICA","",D35)</f>
        <v/>
      </c>
      <c r="AO51" s="66" t="str">
        <f>+IF(N35="NO APLICA","",AF35)</f>
        <v/>
      </c>
      <c r="AP51" s="67" t="str">
        <f>+B35</f>
        <v>S/N</v>
      </c>
      <c r="AQ51" s="44"/>
      <c r="AR51" s="83"/>
      <c r="AS51" s="9"/>
      <c r="AT51" s="9"/>
      <c r="AU51" s="9"/>
      <c r="AV51" s="9"/>
      <c r="AW51" s="9"/>
      <c r="AX51" s="9"/>
      <c r="AY51" s="9"/>
      <c r="AZ51" s="9"/>
      <c r="BA51" s="9"/>
      <c r="BB51" s="9"/>
      <c r="BC51" s="9"/>
      <c r="BD51" s="9"/>
      <c r="BE51" s="9"/>
      <c r="BF51" s="9"/>
      <c r="BG51" s="9"/>
      <c r="BH51" s="9"/>
      <c r="BI51" s="9"/>
      <c r="BJ51" s="9"/>
      <c r="BK51" s="9"/>
    </row>
    <row r="52" spans="1:63" ht="15" customHeight="1" x14ac:dyDescent="0.25">
      <c r="A52" s="9"/>
      <c r="B52" s="268"/>
      <c r="C52" s="270"/>
      <c r="D52" s="272"/>
      <c r="E52" s="220"/>
      <c r="F52" s="159" t="str">
        <f>+IF(C53="NO APLICA","NO APLICA",IF(C51=C53,IF(E53=E51,E53*(D53-D51)/2,IF(E53&gt;E51,(E51*(D53-D51)/2)+(((E53-E51)/2)*(D53-D51)/4),IF(E53&lt;E51,(E51-((E51-E53)/2))*(D53-D51)/2+(((E51-E53)/2)*(D53-D51)/4)))),IF(E53=E51,E53*2*(D53-D51)/2,IF(E53&gt;E51,E51*2*(D53-D51)/2+(((E53-E51))*2*(D53-D51)/4),IF(E53&lt;E51,E53*2*(D53-D51)/2+(((E51-E53))*2*(D53-D51)/4))))))</f>
        <v>NO APLICA</v>
      </c>
      <c r="G52" s="225"/>
      <c r="H52" s="273"/>
      <c r="I52" s="273"/>
      <c r="J52" s="17" t="str">
        <f>+IF(D53="NO APLICA","",D53)</f>
        <v/>
      </c>
      <c r="K52" s="17" t="str">
        <f>+H53</f>
        <v/>
      </c>
      <c r="L52" s="17" t="str">
        <f>+I53</f>
        <v/>
      </c>
      <c r="M52" s="214"/>
      <c r="N52" s="287"/>
      <c r="O52" s="287"/>
      <c r="P52" s="287"/>
      <c r="Q52" s="26"/>
      <c r="R52" s="288"/>
      <c r="S52" s="288"/>
      <c r="T52" s="288"/>
      <c r="U52" s="84"/>
      <c r="V52" s="84"/>
      <c r="W52" s="286"/>
      <c r="X52" s="220"/>
      <c r="Y52" s="285"/>
      <c r="Z52" s="286"/>
      <c r="AA52" s="220"/>
      <c r="AB52" s="285"/>
      <c r="AC52" s="286"/>
      <c r="AD52" s="220"/>
      <c r="AE52" s="285"/>
      <c r="AF52" s="277"/>
      <c r="AG52" s="278"/>
      <c r="AH52" s="278"/>
      <c r="AI52" s="280"/>
      <c r="AJ52" s="266"/>
      <c r="AK52" s="49"/>
      <c r="AL52" s="55" t="s">
        <v>43</v>
      </c>
      <c r="AM52" s="66" t="str">
        <f>+IF(O35="NO APLICA","",MAX(E25:E60)-E35*0.6)</f>
        <v/>
      </c>
      <c r="AN52" s="66" t="str">
        <f>+IF(O35="NO APLICA","",D35)</f>
        <v/>
      </c>
      <c r="AO52" s="66" t="str">
        <f>+IF(O35="NO APLICA","",AG35)</f>
        <v/>
      </c>
      <c r="AP52" s="67" t="str">
        <f>+B35</f>
        <v>S/N</v>
      </c>
      <c r="AQ52" s="44"/>
      <c r="AR52" s="83"/>
      <c r="AS52" s="9"/>
      <c r="AT52" s="9"/>
      <c r="AU52" s="9"/>
      <c r="AV52" s="9"/>
      <c r="AW52" s="9"/>
      <c r="AX52" s="9"/>
      <c r="AY52" s="9"/>
      <c r="AZ52" s="9"/>
      <c r="BA52" s="9"/>
      <c r="BB52" s="9"/>
      <c r="BC52" s="9"/>
      <c r="BD52" s="9"/>
      <c r="BE52" s="9"/>
      <c r="BF52" s="9"/>
      <c r="BG52" s="9"/>
      <c r="BH52" s="9"/>
      <c r="BI52" s="9"/>
      <c r="BJ52" s="9"/>
      <c r="BK52" s="9"/>
    </row>
    <row r="53" spans="1:63" ht="15" customHeight="1" x14ac:dyDescent="0.25">
      <c r="A53" s="9"/>
      <c r="B53" s="267" t="str">
        <f>+IF(C53="NO APLICA","S/N",14)</f>
        <v>S/N</v>
      </c>
      <c r="C53" s="269" t="str">
        <f>+IF(C20&gt;10,C21,"NO APLICA")</f>
        <v>NO APLICA</v>
      </c>
      <c r="D53" s="271" t="str">
        <f>IF(C53="NO APLICA","NO APLICA",ROUND(C27+C29+C31+C33+C35+C37+C39+C41+C43+C45+C47+C49+C51+C53,2))</f>
        <v>NO APLICA</v>
      </c>
      <c r="E53" s="219"/>
      <c r="F53" s="159" t="str">
        <f>+IF(C53="NO APLICA","NO APLICA",IF(E53=E51,E53*(D53-D51)/2,IF(E53&gt;E51,(E53-((E53-E51)/2))*(D53-D51)/2+(((E53-E51)/2)*(D53-D51)/4),IF(E53&lt;E51,(E53*(D53-D51)/2)+(((E51-E53)/2)*(D53-D51)/4)))))</f>
        <v>NO APLICA</v>
      </c>
      <c r="G53" s="225" t="str">
        <f t="shared" ref="G53" si="97">+IF(F54="NO APLICA","NO APLICA",F53+F54)</f>
        <v>NO APLICA</v>
      </c>
      <c r="H53" s="273" t="str">
        <f t="shared" ref="H53" si="98">+IF(C53="NO APLICA","",MAX(E$25:E$60))</f>
        <v/>
      </c>
      <c r="I53" s="273" t="str">
        <f t="shared" ref="I53" si="99">+IF(C53="NO APLICA","",H53-E53)</f>
        <v/>
      </c>
      <c r="J53" s="23" t="str">
        <f>+IF(D55="NO APLICA","",IF(ROUND(D55-D53,1)=ROUND(D53-D51,1),(D53+D55)/2,D55))</f>
        <v/>
      </c>
      <c r="K53" s="23" t="str">
        <f>+IF(K52=K51,K52,"")</f>
        <v/>
      </c>
      <c r="L53" s="23" t="str">
        <f>+IF(L54="","",(L52+L54)/2)</f>
        <v/>
      </c>
      <c r="M53" s="214"/>
      <c r="N53" s="287" t="str">
        <f>+IF(F54="NO APLICA","NO APLICA",IF(E53&gt;0.2,E53*0.2,"NO APLICA"))</f>
        <v>NO APLICA</v>
      </c>
      <c r="O53" s="287" t="str">
        <f>+IF(F54="NO APLICA","NO APLICA",IF(E53&gt;0,E53*0.6,"NO APLICA"))</f>
        <v>NO APLICA</v>
      </c>
      <c r="P53" s="287" t="str">
        <f>+IF(F54="NO APLICA","NO APLICA",IF(E53&gt;0.5,E53*0.8,"NO APLICA"))</f>
        <v>NO APLICA</v>
      </c>
      <c r="Q53" s="26"/>
      <c r="R53" s="288" t="str">
        <f>+IF(F54="NO APLICA","NO APLICA",IF(E53&gt;0.2,E53*0.8,"NO APLICA"))</f>
        <v>NO APLICA</v>
      </c>
      <c r="S53" s="288" t="str">
        <f>+IF(F54="NO APLICA","NO APLICA",IF(E53&gt;0,E53*0.4,"NO APLICA"))</f>
        <v>NO APLICA</v>
      </c>
      <c r="T53" s="288" t="str">
        <f>+IF(F54="NO APLICA","NO APLICA",IF(E53&gt;0.5,E53*0.2,"NO APLICA"))</f>
        <v>NO APLICA</v>
      </c>
      <c r="U53" s="84"/>
      <c r="V53" s="84"/>
      <c r="W53" s="283"/>
      <c r="X53" s="219"/>
      <c r="Y53" s="275"/>
      <c r="Z53" s="283"/>
      <c r="AA53" s="219"/>
      <c r="AB53" s="289"/>
      <c r="AC53" s="283"/>
      <c r="AD53" s="219"/>
      <c r="AE53" s="275"/>
      <c r="AF53" s="277" t="str">
        <f t="shared" ref="AF53" si="100">+IF(OR(ISNUMBER(W53),ISNUMBER(X53),ISNUMBER(Y53)),AVERAGE(W53:Y54),"NO APLICA")</f>
        <v>NO APLICA</v>
      </c>
      <c r="AG53" s="278" t="str">
        <f t="shared" ref="AG53" si="101">+IF(OR(ISNUMBER(Z53),ISNUMBER(AA53),ISNUMBER(AB53)),AVERAGE(Z53:AB54),"NO APLICA")</f>
        <v>NO APLICA</v>
      </c>
      <c r="AH53" s="278" t="str">
        <f t="shared" ref="AH53" si="102">+IF(OR(ISNUMBER(AC53),ISNUMBER(AD53),ISNUMBER(AE53)),AVERAGE(AC53:AE54),"NO APLICA")</f>
        <v>NO APLICA</v>
      </c>
      <c r="AI53" s="279" t="str">
        <f t="shared" ref="AI53" si="103">IF(F54="NO APLICA","NO APLICA",IF(E53&gt;0.5,IF(OR(ISTEXT(AF53),ISTEXT(AG53),ISTEXT(AH53)),"FALTAN DATOS",(AF53+2*AG53+AH53)/4),IF(E53&gt;0.2,IF(OR(ISTEXT(AF53),ISTEXT(AG53)),"FALTAN DATOS",(AF53+AG53)/2),IF(E53&gt;0,IF(ISTEXT(AG53),"FALTAN DATOS",AG53),"NO APLICA"))))</f>
        <v>NO APLICA</v>
      </c>
      <c r="AJ53" s="266" t="str">
        <f t="shared" ref="AJ53" si="104">+IF(OR(AI53="FALTAN DATOS",AI53="NO APLICA"),"NO APLICA",AI53*G53)</f>
        <v>NO APLICA</v>
      </c>
      <c r="AK53" s="49"/>
      <c r="AL53" s="55" t="s">
        <v>44</v>
      </c>
      <c r="AM53" s="66" t="str">
        <f>+IF(P35="NO APLICA","",MAX(E25:E60)-E35*0.8)</f>
        <v/>
      </c>
      <c r="AN53" s="66" t="str">
        <f>+IF(P35="NO APLICA","",D35)</f>
        <v/>
      </c>
      <c r="AO53" s="66" t="str">
        <f>+IF(P35="NO APLICA","",AH35)</f>
        <v/>
      </c>
      <c r="AP53" s="67" t="str">
        <f>+B35</f>
        <v>S/N</v>
      </c>
      <c r="AQ53" s="44"/>
      <c r="AR53" s="83"/>
      <c r="AS53" s="9"/>
      <c r="AT53" s="9"/>
      <c r="AU53" s="9"/>
      <c r="AV53" s="9"/>
      <c r="AW53" s="9"/>
      <c r="AX53" s="9"/>
      <c r="AY53" s="9"/>
      <c r="AZ53" s="9"/>
      <c r="BA53" s="9"/>
      <c r="BB53" s="9"/>
      <c r="BC53" s="9"/>
      <c r="BD53" s="9"/>
      <c r="BE53" s="9"/>
      <c r="BF53" s="9"/>
      <c r="BG53" s="9"/>
      <c r="BH53" s="9"/>
      <c r="BI53" s="9"/>
      <c r="BJ53" s="9"/>
      <c r="BK53" s="9"/>
    </row>
    <row r="54" spans="1:63" ht="15" customHeight="1" x14ac:dyDescent="0.25">
      <c r="A54" s="9"/>
      <c r="B54" s="268"/>
      <c r="C54" s="270"/>
      <c r="D54" s="272"/>
      <c r="E54" s="220"/>
      <c r="F54" s="159" t="str">
        <f>+IF(C55="NO APLICA","NO APLICA",IF(C53=C55,IF(E55=E53,E55*(D55-D53)/2,IF(E55&gt;E53,(E53*(D55-D53)/2)+(((E55-E53)/2)*(D55-D53)/4),IF(E55&lt;E53,(E53-((E53-E55)/2))*(D55-D53)/2+(((E53-E55)/2)*(D55-D53)/4)))),IF(E55=E53,E55*2*(D55-D53)/2,IF(E55&gt;E53,E53*2*(D55-D53)/2+(((E55-E53))*2*(D55-D53)/4),IF(E55&lt;E53,E55*2*(D55-D53)/2+(((E53-E55))*2*(D55-D53)/4))))))</f>
        <v>NO APLICA</v>
      </c>
      <c r="G54" s="225"/>
      <c r="H54" s="273"/>
      <c r="I54" s="273"/>
      <c r="J54" s="17" t="str">
        <f>+IF(D55="NO APLICA","",D55)</f>
        <v/>
      </c>
      <c r="K54" s="17" t="str">
        <f>+H55</f>
        <v/>
      </c>
      <c r="L54" s="17" t="str">
        <f>+I55</f>
        <v/>
      </c>
      <c r="M54" s="214"/>
      <c r="N54" s="287"/>
      <c r="O54" s="287"/>
      <c r="P54" s="287"/>
      <c r="Q54" s="26"/>
      <c r="R54" s="288"/>
      <c r="S54" s="288"/>
      <c r="T54" s="288"/>
      <c r="U54" s="84"/>
      <c r="V54" s="84"/>
      <c r="W54" s="286"/>
      <c r="X54" s="220"/>
      <c r="Y54" s="285"/>
      <c r="Z54" s="286"/>
      <c r="AA54" s="220"/>
      <c r="AB54" s="289"/>
      <c r="AC54" s="286"/>
      <c r="AD54" s="220"/>
      <c r="AE54" s="285"/>
      <c r="AF54" s="277"/>
      <c r="AG54" s="278"/>
      <c r="AH54" s="278"/>
      <c r="AI54" s="280"/>
      <c r="AJ54" s="266"/>
      <c r="AK54" s="49"/>
      <c r="AL54" s="55" t="s">
        <v>52</v>
      </c>
      <c r="AM54" s="68" t="str">
        <f>+IF(AM53="",IF(AM52="","",(AM50-AM55)*0.1+AM55),(AM50-AM55)*0.1+AM55)</f>
        <v/>
      </c>
      <c r="AN54" s="68" t="str">
        <f>+IF(AN53="",IF(AN52="","",AN52),AN53)</f>
        <v/>
      </c>
      <c r="AO54" s="68" t="str">
        <f>+IF(AO53="",IF(AO52="","",AO52*0.75),AO53*0.85)</f>
        <v/>
      </c>
      <c r="AP54" s="64" t="str">
        <f>+B35</f>
        <v>S/N</v>
      </c>
      <c r="AQ54" s="9"/>
      <c r="AR54" s="83"/>
      <c r="AS54" s="9"/>
      <c r="AT54" s="9"/>
      <c r="AU54" s="9"/>
      <c r="AV54" s="9"/>
      <c r="AW54" s="9"/>
      <c r="AX54" s="9"/>
      <c r="AY54" s="9"/>
      <c r="AZ54" s="9"/>
      <c r="BA54" s="9"/>
      <c r="BB54" s="9"/>
      <c r="BC54" s="9"/>
      <c r="BD54" s="9"/>
      <c r="BE54" s="9"/>
      <c r="BF54" s="9"/>
      <c r="BG54" s="9"/>
      <c r="BH54" s="9"/>
      <c r="BI54" s="9"/>
      <c r="BJ54" s="9"/>
      <c r="BK54" s="9"/>
    </row>
    <row r="55" spans="1:63" ht="15" customHeight="1" x14ac:dyDescent="0.25">
      <c r="A55" s="9"/>
      <c r="B55" s="267" t="str">
        <f>+IF(C55="NO APLICA","S/N",15)</f>
        <v>S/N</v>
      </c>
      <c r="C55" s="269" t="str">
        <f>+IF(C20&gt;10,C21,"NO APLICA")</f>
        <v>NO APLICA</v>
      </c>
      <c r="D55" s="271" t="str">
        <f>IF(C55="NO APLICA","NO APLICA",ROUND(C27+C29+C31+C33+C35+C37+C39+C41+C43+C45+C47+C49+C51+C53+C55,2))</f>
        <v>NO APLICA</v>
      </c>
      <c r="E55" s="219"/>
      <c r="F55" s="159" t="str">
        <f>+IF(C55="NO APLICA","NO APLICA",IF(E55=E53,E55*(D55-D53)/2,IF(E55&gt;E53,(E55-((E55-E53)/2))*(D55-D53)/2+(((E55-E53)/2)*(D55-D53)/4),IF(E55&lt;E53,(E55*(D55-D53)/2)+(((E53-E55)/2)*(D55-D53)/4)))))</f>
        <v>NO APLICA</v>
      </c>
      <c r="G55" s="225" t="str">
        <f t="shared" ref="G55" si="105">+IF(F56="NO APLICA","NO APLICA",F55+F56)</f>
        <v>NO APLICA</v>
      </c>
      <c r="H55" s="273" t="str">
        <f t="shared" ref="H55" si="106">+IF(C55="NO APLICA","",MAX(E$25:E$60))</f>
        <v/>
      </c>
      <c r="I55" s="273" t="str">
        <f t="shared" ref="I55" si="107">+IF(C55="NO APLICA","",H55-E55)</f>
        <v/>
      </c>
      <c r="J55" s="23" t="str">
        <f>+IF(D57="NO APLICA","",IF(ROUND(D57-D55,1)=ROUND(D55-D53,1),(D55+D57)/2,D57))</f>
        <v/>
      </c>
      <c r="K55" s="23" t="str">
        <f>+IF(K54=K53,K54,"")</f>
        <v/>
      </c>
      <c r="L55" s="23" t="str">
        <f>+IF(L56="","",(L54+L56)/2)</f>
        <v/>
      </c>
      <c r="M55" s="214"/>
      <c r="N55" s="287" t="str">
        <f>+IF(F56="NO APLICA","NO APLICA",IF(E55&gt;0.2,E55*0.2,"NO APLICA"))</f>
        <v>NO APLICA</v>
      </c>
      <c r="O55" s="287" t="str">
        <f>+IF(F56="NO APLICA","NO APLICA",IF(E55&gt;0,E55*0.6,"NO APLICA"))</f>
        <v>NO APLICA</v>
      </c>
      <c r="P55" s="287" t="str">
        <f>+IF(F56="NO APLICA","NO APLICA",IF(E55&gt;0.5,E55*0.8,"NO APLICA"))</f>
        <v>NO APLICA</v>
      </c>
      <c r="Q55" s="26"/>
      <c r="R55" s="288" t="str">
        <f>+IF(F56="NO APLICA","NO APLICA",IF(E55&gt;0.2,E55*0.8,"NO APLICA"))</f>
        <v>NO APLICA</v>
      </c>
      <c r="S55" s="288" t="str">
        <f>+IF(F56="NO APLICA","NO APLICA",IF(E55&gt;0,E55*0.4,"NO APLICA"))</f>
        <v>NO APLICA</v>
      </c>
      <c r="T55" s="288" t="str">
        <f>+IF(F56="NO APLICA","NO APLICA",IF(E55&gt;0.5,E55*0.2,"NO APLICA"))</f>
        <v>NO APLICA</v>
      </c>
      <c r="U55" s="84"/>
      <c r="V55" s="84"/>
      <c r="W55" s="283"/>
      <c r="X55" s="219"/>
      <c r="Y55" s="275"/>
      <c r="Z55" s="283"/>
      <c r="AA55" s="219"/>
      <c r="AB55" s="275"/>
      <c r="AC55" s="283"/>
      <c r="AD55" s="219"/>
      <c r="AE55" s="275"/>
      <c r="AF55" s="277" t="str">
        <f t="shared" ref="AF55" si="108">+IF(OR(ISNUMBER(W55),ISNUMBER(X55),ISNUMBER(Y55)),AVERAGE(W55:Y56),"NO APLICA")</f>
        <v>NO APLICA</v>
      </c>
      <c r="AG55" s="278" t="str">
        <f t="shared" ref="AG55" si="109">+IF(OR(ISNUMBER(Z55),ISNUMBER(AA55),ISNUMBER(AB55)),AVERAGE(Z55:AB56),"NO APLICA")</f>
        <v>NO APLICA</v>
      </c>
      <c r="AH55" s="278" t="str">
        <f t="shared" ref="AH55" si="110">+IF(OR(ISNUMBER(AC55),ISNUMBER(AD55),ISNUMBER(AE55)),AVERAGE(AC55:AE56),"NO APLICA")</f>
        <v>NO APLICA</v>
      </c>
      <c r="AI55" s="279" t="str">
        <f t="shared" ref="AI55" si="111">IF(F56="NO APLICA","NO APLICA",IF(E55&gt;0.5,IF(OR(ISTEXT(AF55),ISTEXT(AG55),ISTEXT(AH55)),"FALTAN DATOS",(AF55+2*AG55+AH55)/4),IF(E55&gt;0.2,IF(OR(ISTEXT(AF55),ISTEXT(AG55)),"FALTAN DATOS",(AF55+AG55)/2),IF(E55&gt;0,IF(ISTEXT(AG55),"FALTAN DATOS",AG55),"NO APLICA"))))</f>
        <v>NO APLICA</v>
      </c>
      <c r="AJ55" s="266" t="str">
        <f t="shared" ref="AJ55" si="112">+IF(OR(AI55="FALTAN DATOS",AI55="NO APLICA"),"NO APLICA",AI55*G55)</f>
        <v>NO APLICA</v>
      </c>
      <c r="AK55" s="49"/>
      <c r="AL55" s="56" t="s">
        <v>45</v>
      </c>
      <c r="AM55" s="70" t="str">
        <f>+IF(C35="NO APLICA","",IF(C33=C35*2,MAX(E25:E60)-E35,IF(O35="NO APLICA","",MAX(E25:E60)-E35)))</f>
        <v/>
      </c>
      <c r="AN55" s="70" t="str">
        <f>+IF(C35="NO APLICA","",IF(C33=C35*2,D35,IF(O35="NO APLICA","",D35)))</f>
        <v/>
      </c>
      <c r="AO55" s="70" t="str">
        <f>+IF(C35="NO APLICA","",IF(C33=C35*2,0,IF(O35="NO APLICA","",0)))</f>
        <v/>
      </c>
      <c r="AP55" s="71" t="str">
        <f>+B35</f>
        <v>S/N</v>
      </c>
      <c r="AQ55" s="44"/>
      <c r="AR55" s="83"/>
      <c r="AS55" s="9"/>
      <c r="AT55" s="9"/>
      <c r="AU55" s="9"/>
      <c r="AV55" s="9"/>
      <c r="AW55" s="9"/>
      <c r="AX55" s="9"/>
      <c r="AY55" s="9"/>
      <c r="AZ55" s="9"/>
      <c r="BA55" s="9"/>
      <c r="BB55" s="9"/>
      <c r="BC55" s="9"/>
      <c r="BD55" s="9"/>
      <c r="BE55" s="9"/>
      <c r="BF55" s="9"/>
      <c r="BG55" s="9"/>
      <c r="BH55" s="9"/>
      <c r="BI55" s="9"/>
      <c r="BJ55" s="9"/>
      <c r="BK55" s="9"/>
    </row>
    <row r="56" spans="1:63" ht="15" customHeight="1" x14ac:dyDescent="0.25">
      <c r="A56" s="9"/>
      <c r="B56" s="268"/>
      <c r="C56" s="270"/>
      <c r="D56" s="272"/>
      <c r="E56" s="220"/>
      <c r="F56" s="159" t="str">
        <f>+IF(C57="NO APLICA","NO APLICA",IF(C55=C57,IF(E57=E55,E57*(D57-D55)/2,IF(E57&gt;E55,(E55*(D57-D55)/2)+(((E57-E55)/2)*(D57-D55)/4),IF(E57&lt;E55,(E55-((E55-E57)/2))*(D57-D55)/2+(((E55-E57)/2)*(D57-D55)/4)))),IF(E57=E55,E57*2*(D57-D55)/2,IF(E57&gt;E55,E55*2*(D57-D55)/2+(((E57-E55))*2*(D57-D55)/4),IF(E57&lt;E55,E57*2*(D57-D55)/2+(((E55-E57))*2*(D57-D55)/4))))))</f>
        <v>NO APLICA</v>
      </c>
      <c r="G56" s="225"/>
      <c r="H56" s="273"/>
      <c r="I56" s="273"/>
      <c r="J56" s="17" t="str">
        <f>+IF(D57="NO APLICA","",D57)</f>
        <v/>
      </c>
      <c r="K56" s="17" t="str">
        <f>+H57</f>
        <v/>
      </c>
      <c r="L56" s="17" t="str">
        <f>+I57</f>
        <v/>
      </c>
      <c r="M56" s="214"/>
      <c r="N56" s="287"/>
      <c r="O56" s="287"/>
      <c r="P56" s="287"/>
      <c r="Q56" s="26"/>
      <c r="R56" s="288"/>
      <c r="S56" s="288"/>
      <c r="T56" s="288"/>
      <c r="U56" s="84"/>
      <c r="V56" s="84"/>
      <c r="W56" s="286"/>
      <c r="X56" s="220"/>
      <c r="Y56" s="285"/>
      <c r="Z56" s="286"/>
      <c r="AA56" s="220"/>
      <c r="AB56" s="285"/>
      <c r="AC56" s="286"/>
      <c r="AD56" s="220"/>
      <c r="AE56" s="285"/>
      <c r="AF56" s="277"/>
      <c r="AG56" s="278"/>
      <c r="AH56" s="278"/>
      <c r="AI56" s="280"/>
      <c r="AJ56" s="266"/>
      <c r="AK56" s="49"/>
      <c r="AL56" s="54" t="s">
        <v>41</v>
      </c>
      <c r="AM56" s="62" t="str">
        <f>+IF(O37="NO APLICA","",MAX(E25:E60))</f>
        <v/>
      </c>
      <c r="AN56" s="62" t="str">
        <f>+IF(AN57="",IF(AN58="","",AN58),AN57)</f>
        <v/>
      </c>
      <c r="AO56" s="62" t="str">
        <f>+IF(AO57="",IF(AO58="","",AO58*1.25),AO57*1.15)</f>
        <v/>
      </c>
      <c r="AP56" s="63" t="str">
        <f>+B37</f>
        <v>S/N</v>
      </c>
      <c r="AQ56" s="44"/>
      <c r="AR56" s="83"/>
      <c r="AS56" s="9"/>
      <c r="AT56" s="9"/>
      <c r="AU56" s="9"/>
      <c r="AV56" s="9"/>
      <c r="AW56" s="9"/>
      <c r="AX56" s="9"/>
      <c r="AY56" s="9"/>
      <c r="AZ56" s="9"/>
      <c r="BA56" s="9"/>
      <c r="BB56" s="9"/>
      <c r="BC56" s="9"/>
      <c r="BD56" s="9"/>
      <c r="BE56" s="9"/>
      <c r="BF56" s="9"/>
      <c r="BG56" s="9"/>
      <c r="BH56" s="9"/>
      <c r="BI56" s="9"/>
      <c r="BJ56" s="9"/>
      <c r="BK56" s="9"/>
    </row>
    <row r="57" spans="1:63" ht="15" customHeight="1" x14ac:dyDescent="0.25">
      <c r="A57" s="9"/>
      <c r="B57" s="267" t="str">
        <f>+IF(C57="NO APLICA","S/N",16)</f>
        <v>S/N</v>
      </c>
      <c r="C57" s="269" t="str">
        <f>+IF(C20&gt;10,C21,"NO APLICA")</f>
        <v>NO APLICA</v>
      </c>
      <c r="D57" s="271" t="str">
        <f>IF(C57="NO APLICA","NO APLICA",ROUND(C27+C29+C31+C33+C35+C37+C39+C41+C43+C45+C47+C49+C51+C53+C55+C57,2))</f>
        <v>NO APLICA</v>
      </c>
      <c r="E57" s="219"/>
      <c r="F57" s="159" t="str">
        <f>+IF(C57="NO APLICA","NO APLICA",IF(E57=E55,E57*(D57-D55)/2,IF(E57&gt;E55,(E57-((E57-E55)/2))*(D57-D55)/2+(((E57-E55)/2)*(D57-D55)/4),IF(E57&lt;E55,(E57*(D57-D55)/2)+(((E55-E57)/2)*(D57-D55)/4)))))</f>
        <v>NO APLICA</v>
      </c>
      <c r="G57" s="225" t="str">
        <f t="shared" ref="G57" si="113">+IF(F58="NO APLICA","NO APLICA",F57+F58)</f>
        <v>NO APLICA</v>
      </c>
      <c r="H57" s="273" t="str">
        <f t="shared" ref="H57" si="114">+IF(C57="NO APLICA","",MAX(E$25:E$60))</f>
        <v/>
      </c>
      <c r="I57" s="273" t="str">
        <f t="shared" ref="I57" si="115">+IF(C57="NO APLICA","",H57-E57)</f>
        <v/>
      </c>
      <c r="J57" s="23" t="str">
        <f>+IF(D59="NO APLICA","",IF(ROUND(D59-D57,1)=ROUND(D57-D55,1),(D57+D59)/2,D59))</f>
        <v/>
      </c>
      <c r="K57" s="23" t="str">
        <f>+IF(K56=K55,K56,"")</f>
        <v/>
      </c>
      <c r="L57" s="23" t="str">
        <f>+IF(C20=16,I59,IF(L58="","",(L56+L58)/2))</f>
        <v/>
      </c>
      <c r="M57" s="214"/>
      <c r="N57" s="287" t="str">
        <f>+IF(F58="NO APLICA","NO APLICA",IF(E57&gt;0.2,E57*0.2,"NO APLICA"))</f>
        <v>NO APLICA</v>
      </c>
      <c r="O57" s="287" t="str">
        <f>+IF(F58="NO APLICA","NO APLICA",IF(E57&gt;0,E57*0.6,"NO APLICA"))</f>
        <v>NO APLICA</v>
      </c>
      <c r="P57" s="287" t="str">
        <f>+IF(F58="NO APLICA","NO APLICA",IF(E57&gt;0.5,E57*0.8,"NO APLICA"))</f>
        <v>NO APLICA</v>
      </c>
      <c r="Q57" s="26"/>
      <c r="R57" s="288" t="str">
        <f>+IF(F58="NO APLICA","NO APLICA",IF(E57&gt;0.2,E57*0.8,"NO APLICA"))</f>
        <v>NO APLICA</v>
      </c>
      <c r="S57" s="288" t="str">
        <f>+IF(F58="NO APLICA","NO APLICA",IF(E57&gt;0,E57*0.4,"NO APLICA"))</f>
        <v>NO APLICA</v>
      </c>
      <c r="T57" s="288" t="str">
        <f>+IF(F58="NO APLICA","NO APLICA",IF(E57&gt;0.5,E57*0.2,"NO APLICA"))</f>
        <v>NO APLICA</v>
      </c>
      <c r="U57" s="84"/>
      <c r="V57" s="84"/>
      <c r="W57" s="283"/>
      <c r="X57" s="219"/>
      <c r="Y57" s="275"/>
      <c r="Z57" s="283"/>
      <c r="AA57" s="219"/>
      <c r="AB57" s="275"/>
      <c r="AC57" s="283"/>
      <c r="AD57" s="219"/>
      <c r="AE57" s="275"/>
      <c r="AF57" s="277" t="str">
        <f t="shared" ref="AF57" si="116">+IF(OR(ISNUMBER(W57),ISNUMBER(X57),ISNUMBER(Y57)),AVERAGE(W57:Y58),"NO APLICA")</f>
        <v>NO APLICA</v>
      </c>
      <c r="AG57" s="278" t="str">
        <f t="shared" ref="AG57" si="117">+IF(OR(ISNUMBER(Z57),ISNUMBER(AA57),ISNUMBER(AB57)),AVERAGE(Z57:AB58),"NO APLICA")</f>
        <v>NO APLICA</v>
      </c>
      <c r="AH57" s="278" t="str">
        <f t="shared" ref="AH57" si="118">+IF(OR(ISNUMBER(AC57),ISNUMBER(AD57),ISNUMBER(AE57)),AVERAGE(AC57:AE58),"NO APLICA")</f>
        <v>NO APLICA</v>
      </c>
      <c r="AI57" s="279" t="str">
        <f t="shared" ref="AI57" si="119">IF(F58="NO APLICA","NO APLICA",IF(E57&gt;0.5,IF(OR(ISTEXT(AF57),ISTEXT(AG57),ISTEXT(AH57)),"FALTAN DATOS",(AF57+2*AG57+AH57)/4),IF(E57&gt;0.2,IF(OR(ISTEXT(AF57),ISTEXT(AG57)),"FALTAN DATOS",(AF57+AG57)/2),IF(E57&gt;0,IF(ISTEXT(AG57),"FALTAN DATOS",AG57),"NO APLICA"))))</f>
        <v>NO APLICA</v>
      </c>
      <c r="AJ57" s="266" t="str">
        <f t="shared" ref="AJ57" si="120">+IF(OR(AI57="FALTAN DATOS",AI57="NO APLICA"),"NO APLICA",AI57*G57)</f>
        <v>NO APLICA</v>
      </c>
      <c r="AK57" s="49"/>
      <c r="AL57" s="55" t="s">
        <v>42</v>
      </c>
      <c r="AM57" s="66" t="str">
        <f>+IF(N37="NO APLICA","",MAX(E25:E60)-E37*0.2)</f>
        <v/>
      </c>
      <c r="AN57" s="66" t="str">
        <f>+IF(N37="NO APLICA","",D37)</f>
        <v/>
      </c>
      <c r="AO57" s="66" t="str">
        <f>+IF(N37="NO APLICA","",AF37)</f>
        <v/>
      </c>
      <c r="AP57" s="67" t="str">
        <f>+B37</f>
        <v>S/N</v>
      </c>
      <c r="AQ57" s="44"/>
      <c r="AR57" s="83"/>
      <c r="AS57" s="9"/>
      <c r="AT57" s="9"/>
      <c r="AU57" s="9"/>
      <c r="AV57" s="9"/>
      <c r="AW57" s="9"/>
      <c r="AX57" s="9"/>
      <c r="AY57" s="9"/>
      <c r="AZ57" s="9"/>
      <c r="BA57" s="9"/>
      <c r="BB57" s="9"/>
      <c r="BC57" s="9"/>
      <c r="BD57" s="9"/>
      <c r="BE57" s="9"/>
      <c r="BF57" s="9"/>
      <c r="BG57" s="9"/>
      <c r="BH57" s="9"/>
      <c r="BI57" s="9"/>
      <c r="BJ57" s="9"/>
      <c r="BK57" s="9"/>
    </row>
    <row r="58" spans="1:63" ht="15.75" customHeight="1" thickBot="1" x14ac:dyDescent="0.3">
      <c r="A58" s="9"/>
      <c r="B58" s="268"/>
      <c r="C58" s="270"/>
      <c r="D58" s="272"/>
      <c r="E58" s="220"/>
      <c r="F58" s="159" t="str">
        <f>+IF(C59="NO APLICA","NO APLICA",IF(C57=C59,IF(E59=E57,E59*(D59-D57)/2,IF(E59&gt;E57,(E57*(D59-D57)/2)+(((E59-E57)/2)*(D59-D57)/4),IF(E59&lt;E57,(E57-((E57-E59)/2))*(D59-D57)/2+(((E57-E59)/2)*(D59-D57)/4)))),IF(E59=E57,E59*2*(D59-D57)/2,IF(E59&gt;E57,E57*2*(D59-D57)/2+(((E59-E57))*2*(D59-D57)/4),IF(E59&lt;E57,E59*2*(D59-D57)/2+(((E57-E59))*2*(D59-D57)/4))))))</f>
        <v>NO APLICA</v>
      </c>
      <c r="G58" s="225"/>
      <c r="H58" s="273"/>
      <c r="I58" s="273"/>
      <c r="J58" s="17"/>
      <c r="K58" s="213"/>
      <c r="L58" s="213"/>
      <c r="M58" s="214"/>
      <c r="N58" s="287"/>
      <c r="O58" s="287"/>
      <c r="P58" s="287"/>
      <c r="Q58" s="26"/>
      <c r="R58" s="288"/>
      <c r="S58" s="288"/>
      <c r="T58" s="288"/>
      <c r="U58" s="84"/>
      <c r="V58" s="84"/>
      <c r="W58" s="284"/>
      <c r="X58" s="274"/>
      <c r="Y58" s="276"/>
      <c r="Z58" s="284"/>
      <c r="AA58" s="274"/>
      <c r="AB58" s="276"/>
      <c r="AC58" s="284"/>
      <c r="AD58" s="274"/>
      <c r="AE58" s="276"/>
      <c r="AF58" s="277"/>
      <c r="AG58" s="278"/>
      <c r="AH58" s="278"/>
      <c r="AI58" s="280"/>
      <c r="AJ58" s="266"/>
      <c r="AK58" s="49"/>
      <c r="AL58" s="55" t="s">
        <v>43</v>
      </c>
      <c r="AM58" s="66" t="str">
        <f>+IF(O37="NO APLICA","",MAX(E25:E60)-E37*0.6)</f>
        <v/>
      </c>
      <c r="AN58" s="66" t="str">
        <f>+IF(O37="NO APLICA","",D37)</f>
        <v/>
      </c>
      <c r="AO58" s="66" t="str">
        <f>+IF(O37="NO APLICA","",AG37)</f>
        <v/>
      </c>
      <c r="AP58" s="67" t="str">
        <f>+B37</f>
        <v>S/N</v>
      </c>
      <c r="AQ58" s="44"/>
      <c r="AR58" s="83"/>
      <c r="AS58" s="9"/>
      <c r="AT58" s="9"/>
      <c r="AU58" s="9"/>
      <c r="AV58" s="9"/>
      <c r="AW58" s="9"/>
      <c r="AX58" s="9"/>
      <c r="AY58" s="9"/>
      <c r="AZ58" s="9"/>
      <c r="BA58" s="9"/>
      <c r="BB58" s="9"/>
      <c r="BC58" s="9"/>
      <c r="BD58" s="9"/>
      <c r="BE58" s="9"/>
      <c r="BF58" s="9"/>
      <c r="BG58" s="9"/>
      <c r="BH58" s="9"/>
      <c r="BI58" s="9"/>
      <c r="BJ58" s="9"/>
      <c r="BK58" s="9"/>
    </row>
    <row r="59" spans="1:63" ht="15" customHeight="1" x14ac:dyDescent="0.25">
      <c r="A59" s="9"/>
      <c r="B59" s="267" t="str">
        <f>+IF(C59="NO APLICA","S/N",IF(C57&gt;C59,"Final",17))</f>
        <v>S/N</v>
      </c>
      <c r="C59" s="269" t="str">
        <f>+IF(C20=16,C21/2,IF(C20&gt;16,C21,"NO APLICA"))</f>
        <v>NO APLICA</v>
      </c>
      <c r="D59" s="271" t="str">
        <f>IF(C59="NO APLICA","NO APLICA",ROUND(C27+C29+C31+C33+C35+C37+C39+C41+C43+C45+C47+C49+C51+C53+C55+C57+C59,2))</f>
        <v>NO APLICA</v>
      </c>
      <c r="E59" s="219"/>
      <c r="F59" s="12"/>
      <c r="G59" s="434"/>
      <c r="H59" s="273" t="str">
        <f t="shared" ref="H59" si="121">+IF(C59="NO APLICA","",MAX(E$25:E$60))</f>
        <v/>
      </c>
      <c r="I59" s="273" t="str">
        <f t="shared" ref="I59" si="122">+IF(C59="NO APLICA","",H59-E59)</f>
        <v/>
      </c>
      <c r="K59" s="213"/>
      <c r="L59" s="213"/>
      <c r="M59" s="214"/>
      <c r="N59" s="263"/>
      <c r="O59" s="263"/>
      <c r="P59" s="263"/>
      <c r="Q59" s="83"/>
      <c r="R59" s="263"/>
      <c r="S59" s="263"/>
      <c r="T59" s="263"/>
      <c r="U59" s="83"/>
      <c r="V59" s="83"/>
      <c r="W59" s="265"/>
      <c r="X59" s="265"/>
      <c r="Y59" s="265"/>
      <c r="Z59" s="265"/>
      <c r="AA59" s="265"/>
      <c r="AB59" s="265"/>
      <c r="AC59" s="265"/>
      <c r="AD59" s="265"/>
      <c r="AE59" s="265"/>
      <c r="AF59" s="282"/>
      <c r="AG59" s="282"/>
      <c r="AH59" s="282"/>
      <c r="AI59" s="263"/>
      <c r="AJ59" s="263"/>
      <c r="AK59" s="83"/>
      <c r="AL59" s="55" t="s">
        <v>44</v>
      </c>
      <c r="AM59" s="66" t="str">
        <f>+IF(P37="NO APLICA","",MAX(E25:E60)-E37*0.8)</f>
        <v/>
      </c>
      <c r="AN59" s="66" t="str">
        <f>+IF(P37="NO APLICA","",D37)</f>
        <v/>
      </c>
      <c r="AO59" s="66" t="str">
        <f>+IF(P37="NO APLICA","",AH37)</f>
        <v/>
      </c>
      <c r="AP59" s="67" t="str">
        <f>+B37</f>
        <v>S/N</v>
      </c>
      <c r="AQ59" s="44"/>
      <c r="AR59" s="83"/>
      <c r="AS59" s="9"/>
      <c r="AT59" s="9"/>
      <c r="AU59" s="9"/>
      <c r="AV59" s="9"/>
      <c r="AW59" s="9"/>
      <c r="AX59" s="9"/>
      <c r="AY59" s="9"/>
      <c r="AZ59" s="9"/>
      <c r="BA59" s="9"/>
      <c r="BB59" s="9"/>
      <c r="BC59" s="9"/>
      <c r="BD59" s="9"/>
      <c r="BE59" s="9"/>
      <c r="BF59" s="9"/>
      <c r="BG59" s="9"/>
      <c r="BH59" s="9"/>
      <c r="BI59" s="9"/>
      <c r="BJ59" s="9"/>
      <c r="BK59" s="9"/>
    </row>
    <row r="60" spans="1:63" ht="15" customHeight="1" x14ac:dyDescent="0.25">
      <c r="A60" s="9"/>
      <c r="B60" s="268"/>
      <c r="C60" s="270"/>
      <c r="D60" s="272"/>
      <c r="E60" s="220"/>
      <c r="F60" s="83"/>
      <c r="G60" s="435"/>
      <c r="H60" s="273"/>
      <c r="I60" s="273"/>
      <c r="J60" s="213"/>
      <c r="K60" s="213"/>
      <c r="L60" s="213"/>
      <c r="M60" s="214"/>
      <c r="N60" s="264"/>
      <c r="O60" s="264"/>
      <c r="P60" s="264"/>
      <c r="Q60" s="83"/>
      <c r="R60" s="264"/>
      <c r="S60" s="264"/>
      <c r="T60" s="264"/>
      <c r="U60" s="83"/>
      <c r="V60" s="83"/>
      <c r="W60" s="265"/>
      <c r="X60" s="265"/>
      <c r="Y60" s="265"/>
      <c r="Z60" s="265"/>
      <c r="AA60" s="265"/>
      <c r="AB60" s="265"/>
      <c r="AC60" s="265"/>
      <c r="AD60" s="265"/>
      <c r="AE60" s="265"/>
      <c r="AF60" s="265"/>
      <c r="AG60" s="265"/>
      <c r="AH60" s="265"/>
      <c r="AI60" s="264"/>
      <c r="AJ60" s="264"/>
      <c r="AK60" s="83"/>
      <c r="AL60" s="55" t="s">
        <v>52</v>
      </c>
      <c r="AM60" s="68" t="str">
        <f>+IF(AM59="",IF(AM58="","",(AM56-AM61)*0.1+AM61),(AM56-AM61)*0.1+AM61)</f>
        <v/>
      </c>
      <c r="AN60" s="68" t="str">
        <f>+IF(AN59="",IF(AN58="","",AN58),AN59)</f>
        <v/>
      </c>
      <c r="AO60" s="68" t="str">
        <f>+IF(AO59="",IF(AO58="","",AO58*0.75),AO59*0.85)</f>
        <v/>
      </c>
      <c r="AP60" s="64" t="str">
        <f>+B37</f>
        <v>S/N</v>
      </c>
      <c r="AQ60" s="9"/>
      <c r="AR60" s="83"/>
      <c r="AS60" s="9"/>
      <c r="AT60" s="9"/>
      <c r="AU60" s="9"/>
      <c r="AV60" s="9"/>
      <c r="AW60" s="9"/>
      <c r="AX60" s="9"/>
      <c r="AY60" s="9"/>
      <c r="AZ60" s="9"/>
      <c r="BA60" s="9"/>
      <c r="BB60" s="9"/>
      <c r="BC60" s="9"/>
      <c r="BD60" s="9"/>
      <c r="BE60" s="9"/>
      <c r="BF60" s="9"/>
      <c r="BG60" s="9"/>
      <c r="BH60" s="9"/>
      <c r="BI60" s="9"/>
      <c r="BJ60" s="9"/>
      <c r="BK60" s="9"/>
    </row>
    <row r="61" spans="1:63" x14ac:dyDescent="0.25">
      <c r="A61" s="9"/>
      <c r="B61" s="9"/>
      <c r="C61" s="9"/>
      <c r="D61" s="9"/>
      <c r="E61" s="9"/>
      <c r="F61" s="9"/>
      <c r="G61" s="83"/>
      <c r="H61" s="22"/>
      <c r="I61" s="22"/>
      <c r="J61" s="22"/>
      <c r="K61" s="22"/>
      <c r="L61" s="22"/>
      <c r="M61" s="22"/>
      <c r="N61" s="83"/>
      <c r="O61" s="83"/>
      <c r="P61" s="83"/>
      <c r="Q61" s="83"/>
      <c r="R61" s="83"/>
      <c r="S61" s="83"/>
      <c r="T61" s="83"/>
      <c r="U61" s="83"/>
      <c r="V61" s="83"/>
      <c r="W61" s="83"/>
      <c r="X61" s="83"/>
      <c r="Y61" s="83"/>
      <c r="Z61" s="83"/>
      <c r="AA61" s="83"/>
      <c r="AB61" s="83"/>
      <c r="AC61" s="83"/>
      <c r="AD61" s="83"/>
      <c r="AE61" s="83"/>
      <c r="AF61" s="83"/>
      <c r="AG61" s="83"/>
      <c r="AH61" s="83"/>
      <c r="AI61" s="83"/>
      <c r="AJ61" s="83"/>
      <c r="AK61" s="83"/>
      <c r="AL61" s="56" t="s">
        <v>45</v>
      </c>
      <c r="AM61" s="70" t="str">
        <f>+IF(C37="NO APLICA","",IF(C35=C37*2,MAX(E25:E60)-E37,IF(O37="NO APLICA","",MAX(E25:E60)-E37)))</f>
        <v/>
      </c>
      <c r="AN61" s="70" t="str">
        <f>+IF(C37="NO APLICA","",IF(C35=C37*2,D37,IF(O37="NO APLICA","",D37)))</f>
        <v/>
      </c>
      <c r="AO61" s="70" t="str">
        <f>+IF(C37="NO APLICA","",IF(C35=C37*2,0,IF(O37="NO APLICA","",0)))</f>
        <v/>
      </c>
      <c r="AP61" s="71" t="str">
        <f>+B37</f>
        <v>S/N</v>
      </c>
      <c r="AQ61" s="44"/>
      <c r="AR61" s="83"/>
      <c r="AS61" s="9"/>
      <c r="AT61" s="9"/>
      <c r="AU61" s="9"/>
      <c r="AV61" s="9"/>
      <c r="AW61" s="9"/>
      <c r="AX61" s="9"/>
      <c r="AY61" s="9"/>
      <c r="AZ61" s="9"/>
      <c r="BA61" s="9"/>
      <c r="BB61" s="9"/>
      <c r="BC61" s="9"/>
      <c r="BD61" s="9"/>
      <c r="BE61" s="9"/>
      <c r="BF61" s="9"/>
      <c r="BG61" s="9"/>
      <c r="BH61" s="9"/>
      <c r="BI61" s="9"/>
      <c r="BJ61" s="9"/>
      <c r="BK61" s="9"/>
    </row>
    <row r="62" spans="1:63" x14ac:dyDescent="0.25">
      <c r="A62" s="9"/>
      <c r="B62" s="9"/>
      <c r="C62" s="9"/>
      <c r="D62" s="9"/>
      <c r="E62" s="9"/>
      <c r="F62" s="9"/>
      <c r="G62" s="83"/>
      <c r="H62" s="22"/>
      <c r="I62" s="22"/>
      <c r="J62" s="22"/>
      <c r="K62" s="22"/>
      <c r="L62" s="22"/>
      <c r="M62" s="22"/>
      <c r="N62" s="83"/>
      <c r="O62" s="83"/>
      <c r="P62" s="83"/>
      <c r="Q62" s="83"/>
      <c r="R62" s="83"/>
      <c r="S62" s="83"/>
      <c r="T62" s="83"/>
      <c r="U62" s="83"/>
      <c r="V62" s="83"/>
      <c r="W62" s="83"/>
      <c r="X62" s="83"/>
      <c r="Y62" s="83"/>
      <c r="Z62" s="83"/>
      <c r="AA62" s="83"/>
      <c r="AB62" s="83"/>
      <c r="AC62" s="83"/>
      <c r="AD62" s="83"/>
      <c r="AE62" s="83"/>
      <c r="AF62" s="83"/>
      <c r="AG62" s="83"/>
      <c r="AH62" s="83"/>
      <c r="AI62" s="83"/>
      <c r="AJ62" s="83"/>
      <c r="AK62" s="83"/>
      <c r="AL62" s="54" t="s">
        <v>41</v>
      </c>
      <c r="AM62" s="62" t="str">
        <f>+IF(O39="NO APLICA","",MAX(E25:E60))</f>
        <v/>
      </c>
      <c r="AN62" s="62" t="str">
        <f>+IF(AN63="",IF(AN64="","",AN64),AN63)</f>
        <v/>
      </c>
      <c r="AO62" s="62" t="str">
        <f>+IF(AO63="",IF(AO64="","",AO64*1.25),AO63*1.15)</f>
        <v/>
      </c>
      <c r="AP62" s="63" t="str">
        <f>+B39</f>
        <v>S/N</v>
      </c>
      <c r="AQ62" s="44"/>
      <c r="AR62" s="9"/>
      <c r="AS62" s="9"/>
      <c r="AT62" s="9"/>
      <c r="AU62" s="9"/>
      <c r="AV62" s="9"/>
      <c r="AW62" s="9"/>
      <c r="AX62" s="9"/>
      <c r="AY62" s="9"/>
      <c r="AZ62" s="9"/>
      <c r="BA62" s="9"/>
      <c r="BB62" s="9"/>
      <c r="BC62" s="9"/>
      <c r="BD62" s="9"/>
      <c r="BE62" s="9"/>
      <c r="BF62" s="9"/>
      <c r="BG62" s="9"/>
      <c r="BH62" s="9"/>
      <c r="BI62" s="9"/>
      <c r="BJ62" s="9"/>
      <c r="BK62" s="9"/>
    </row>
    <row r="63" spans="1:63" x14ac:dyDescent="0.25">
      <c r="A63" s="9"/>
      <c r="B63" s="9"/>
      <c r="C63" s="9"/>
      <c r="D63" s="9"/>
      <c r="E63" s="9"/>
      <c r="F63" s="9"/>
      <c r="G63" s="9"/>
      <c r="H63" s="22"/>
      <c r="I63" s="22"/>
      <c r="J63" s="22"/>
      <c r="K63" s="22"/>
      <c r="L63" s="22"/>
      <c r="M63" s="22"/>
      <c r="N63" s="9"/>
      <c r="O63" s="9"/>
      <c r="P63" s="9"/>
      <c r="Q63" s="9"/>
      <c r="R63" s="9"/>
      <c r="S63" s="9"/>
      <c r="T63" s="9"/>
      <c r="U63" s="9"/>
      <c r="V63" s="9"/>
      <c r="W63" s="9"/>
      <c r="X63" s="9"/>
      <c r="Y63" s="9"/>
      <c r="Z63" s="9"/>
      <c r="AA63" s="9"/>
      <c r="AB63" s="9"/>
      <c r="AC63" s="9"/>
      <c r="AD63" s="9"/>
      <c r="AE63" s="9"/>
      <c r="AF63" s="9"/>
      <c r="AG63" s="9"/>
      <c r="AH63" s="9"/>
      <c r="AI63" s="9"/>
      <c r="AJ63" s="9"/>
      <c r="AK63" s="83"/>
      <c r="AL63" s="55" t="s">
        <v>42</v>
      </c>
      <c r="AM63" s="66" t="str">
        <f>+IF(N39="NO APLICA","",MAX(E25:E60)-E39*0.2)</f>
        <v/>
      </c>
      <c r="AN63" s="66" t="str">
        <f>+IF(N39="NO APLICA","",D39)</f>
        <v/>
      </c>
      <c r="AO63" s="66" t="str">
        <f>+IF(N39="NO APLICA","",AF39)</f>
        <v/>
      </c>
      <c r="AP63" s="67" t="str">
        <f>+B39</f>
        <v>S/N</v>
      </c>
      <c r="AQ63" s="44"/>
      <c r="AR63" s="9"/>
      <c r="AS63" s="9"/>
      <c r="AT63" s="9"/>
      <c r="AU63" s="9"/>
      <c r="AV63" s="9"/>
      <c r="AW63" s="9"/>
      <c r="AX63" s="9"/>
      <c r="AY63" s="9"/>
      <c r="AZ63" s="9"/>
      <c r="BA63" s="9"/>
      <c r="BB63" s="9"/>
      <c r="BC63" s="9"/>
      <c r="BD63" s="9"/>
      <c r="BE63" s="9"/>
      <c r="BF63" s="9"/>
      <c r="BG63" s="9"/>
      <c r="BH63" s="9"/>
      <c r="BI63" s="9"/>
      <c r="BJ63" s="9"/>
      <c r="BK63" s="9"/>
    </row>
    <row r="64" spans="1:63" x14ac:dyDescent="0.25">
      <c r="A64" s="9"/>
      <c r="B64" s="9"/>
      <c r="C64" s="9"/>
      <c r="D64" s="9"/>
      <c r="E64" s="9"/>
      <c r="F64" s="9"/>
      <c r="G64" s="9"/>
      <c r="H64" s="85"/>
      <c r="I64" s="85"/>
      <c r="J64" s="85"/>
      <c r="K64" s="85"/>
      <c r="L64" s="85"/>
      <c r="M64" s="83"/>
      <c r="N64" s="9"/>
      <c r="O64" s="9"/>
      <c r="P64" s="9"/>
      <c r="Q64" s="9"/>
      <c r="R64" s="9"/>
      <c r="S64" s="9"/>
      <c r="T64" s="9"/>
      <c r="U64" s="9"/>
      <c r="V64" s="9"/>
      <c r="W64" s="9"/>
      <c r="X64" s="9"/>
      <c r="Y64" s="9"/>
      <c r="Z64" s="9"/>
      <c r="AA64" s="9"/>
      <c r="AB64" s="9"/>
      <c r="AC64" s="9"/>
      <c r="AD64" s="9"/>
      <c r="AE64" s="9"/>
      <c r="AF64" s="9"/>
      <c r="AG64" s="9"/>
      <c r="AH64" s="9"/>
      <c r="AI64" s="9"/>
      <c r="AJ64" s="9"/>
      <c r="AK64" s="83"/>
      <c r="AL64" s="55" t="s">
        <v>43</v>
      </c>
      <c r="AM64" s="66" t="str">
        <f>+IF(O39="NO APLICA","",MAX(E25:E60)-E39*0.6)</f>
        <v/>
      </c>
      <c r="AN64" s="66" t="str">
        <f>+IF(O39="NO APLICA","",D39)</f>
        <v/>
      </c>
      <c r="AO64" s="66" t="str">
        <f>+IF(O39="NO APLICA","",AG39)</f>
        <v/>
      </c>
      <c r="AP64" s="67" t="str">
        <f>+B39</f>
        <v>S/N</v>
      </c>
      <c r="AQ64" s="44"/>
      <c r="AR64" s="9"/>
      <c r="AS64" s="9"/>
      <c r="AT64" s="9"/>
      <c r="AU64" s="9"/>
      <c r="AV64" s="9"/>
      <c r="AW64" s="9"/>
      <c r="AX64" s="9"/>
      <c r="AY64" s="9"/>
      <c r="AZ64" s="9"/>
      <c r="BA64" s="9"/>
      <c r="BB64" s="9"/>
      <c r="BC64" s="9"/>
      <c r="BD64" s="9"/>
      <c r="BE64" s="9"/>
      <c r="BF64" s="9"/>
      <c r="BG64" s="9"/>
      <c r="BH64" s="9"/>
      <c r="BI64" s="9"/>
      <c r="BJ64" s="9"/>
      <c r="BK64" s="9"/>
    </row>
    <row r="65" spans="38:43" x14ac:dyDescent="0.25">
      <c r="AL65" s="55" t="s">
        <v>44</v>
      </c>
      <c r="AM65" s="66" t="str">
        <f>+IF(P39="NO APLICA","",MAX(E25:E60)-E39*0.8)</f>
        <v/>
      </c>
      <c r="AN65" s="66" t="str">
        <f>+IF(P39="NO APLICA","",D39)</f>
        <v/>
      </c>
      <c r="AO65" s="66" t="str">
        <f>+IF(P39="NO APLICA","",AH39)</f>
        <v/>
      </c>
      <c r="AP65" s="67" t="str">
        <f>+B39</f>
        <v>S/N</v>
      </c>
      <c r="AQ65" s="37"/>
    </row>
    <row r="66" spans="38:43" x14ac:dyDescent="0.25">
      <c r="AL66" s="55" t="s">
        <v>52</v>
      </c>
      <c r="AM66" s="68" t="str">
        <f>+IF(AM65="",IF(AM64="","",(AM62-AM67)*0.1+AM67),(AM62-AM67)*0.1+AM67)</f>
        <v/>
      </c>
      <c r="AN66" s="68" t="str">
        <f>+IF(AN65="",IF(AN64="","",AN64),AN65)</f>
        <v/>
      </c>
      <c r="AO66" s="68" t="str">
        <f>+IF(AO65="",IF(AO64="","",AO64*0.75),AO65*0.85)</f>
        <v/>
      </c>
      <c r="AP66" s="67" t="str">
        <f>+B39</f>
        <v>S/N</v>
      </c>
      <c r="AQ66" s="37"/>
    </row>
    <row r="67" spans="38:43" x14ac:dyDescent="0.25">
      <c r="AL67" s="56" t="s">
        <v>45</v>
      </c>
      <c r="AM67" s="70" t="str">
        <f>+IF(C39="NO APLICA","",IF(C37=C39*2,MAX(E25:E60)-E39,IF(O39="NO APLICA","",MAX(E25:E60)-E39)))</f>
        <v/>
      </c>
      <c r="AN67" s="70" t="str">
        <f>+IF(C39="NO APLICA","",IF(C37=C39*2,D39,IF(O39="NO APLICA","",D39)))</f>
        <v/>
      </c>
      <c r="AO67" s="70" t="str">
        <f>+IF(C39="NO APLICA","",IF(C37=C39*2,0,IF(O39="NO APLICA","",0)))</f>
        <v/>
      </c>
      <c r="AP67" s="71" t="str">
        <f>+B39</f>
        <v>S/N</v>
      </c>
      <c r="AQ67" s="37"/>
    </row>
    <row r="68" spans="38:43" x14ac:dyDescent="0.25">
      <c r="AL68" s="54" t="s">
        <v>41</v>
      </c>
      <c r="AM68" s="62" t="str">
        <f>+IF(O41="NO APLICA","",MAX(E25:E60))</f>
        <v/>
      </c>
      <c r="AN68" s="62" t="str">
        <f>+IF(AN69="",IF(AN70="","",AN70),AN69)</f>
        <v/>
      </c>
      <c r="AO68" s="62" t="str">
        <f>+IF(AO69="",IF(AO70="","",AO70*1.25),AO69*1.15)</f>
        <v/>
      </c>
      <c r="AP68" s="63" t="str">
        <f>+B41</f>
        <v>S/N</v>
      </c>
      <c r="AQ68" s="37"/>
    </row>
    <row r="69" spans="38:43" x14ac:dyDescent="0.25">
      <c r="AL69" s="55" t="s">
        <v>42</v>
      </c>
      <c r="AM69" s="66" t="str">
        <f>+IF(N41="NO APLICA","",MAX(E25:E60)-E41*0.2)</f>
        <v/>
      </c>
      <c r="AN69" s="66" t="str">
        <f>+IF(N41="NO APLICA","",D41)</f>
        <v/>
      </c>
      <c r="AO69" s="66" t="str">
        <f>+IF(N41="NO APLICA","",AF41)</f>
        <v/>
      </c>
      <c r="AP69" s="67" t="str">
        <f>+B41</f>
        <v>S/N</v>
      </c>
      <c r="AQ69" s="37"/>
    </row>
    <row r="70" spans="38:43" x14ac:dyDescent="0.25">
      <c r="AL70" s="55" t="s">
        <v>43</v>
      </c>
      <c r="AM70" s="66" t="str">
        <f>+IF(O41="NO APLICA","",MAX(E25:E60)-E41*0.6)</f>
        <v/>
      </c>
      <c r="AN70" s="66" t="str">
        <f>+IF(O41="NO APLICA","",D41)</f>
        <v/>
      </c>
      <c r="AO70" s="66" t="str">
        <f>+IF(O41="NO APLICA","",AG41)</f>
        <v/>
      </c>
      <c r="AP70" s="67" t="str">
        <f>+B41</f>
        <v>S/N</v>
      </c>
      <c r="AQ70" s="37"/>
    </row>
    <row r="71" spans="38:43" x14ac:dyDescent="0.25">
      <c r="AL71" s="55" t="s">
        <v>44</v>
      </c>
      <c r="AM71" s="66" t="str">
        <f>+IF(P41="NO APLICA","",MAX(E25:E60)-E41*0.8)</f>
        <v/>
      </c>
      <c r="AN71" s="66" t="str">
        <f>+IF(P41="NO APLICA","",D41)</f>
        <v/>
      </c>
      <c r="AO71" s="66" t="str">
        <f>+IF(P41="NO APLICA","",AH41)</f>
        <v/>
      </c>
      <c r="AP71" s="67" t="str">
        <f>+B41</f>
        <v>S/N</v>
      </c>
      <c r="AQ71" s="37"/>
    </row>
    <row r="72" spans="38:43" x14ac:dyDescent="0.25">
      <c r="AL72" s="55" t="s">
        <v>52</v>
      </c>
      <c r="AM72" s="68" t="str">
        <f>+IF(AM71="",IF(AM70="","",(AM68-AM73)*0.1+AM73),(AM68-AM73)*0.1+AM73)</f>
        <v/>
      </c>
      <c r="AN72" s="68" t="str">
        <f>+IF(AN71="",IF(AN70="","",AN70),AN71)</f>
        <v/>
      </c>
      <c r="AO72" s="68" t="str">
        <f>+IF(AO71="",IF(AO70="","",AO70*0.75),AO71*0.85)</f>
        <v/>
      </c>
      <c r="AP72" s="67" t="str">
        <f>+B41</f>
        <v>S/N</v>
      </c>
      <c r="AQ72" s="37"/>
    </row>
    <row r="73" spans="38:43" x14ac:dyDescent="0.25">
      <c r="AL73" s="56" t="s">
        <v>45</v>
      </c>
      <c r="AM73" s="70" t="str">
        <f>+IF(C41="NO APLICA","",IF(C39=C41*2,MAX(E25:E60)-E41,IF(O41="NO APLICA","",MAX(E25:E60)-E41)))</f>
        <v/>
      </c>
      <c r="AN73" s="70" t="str">
        <f>+IF(C41="NO APLICA","",IF(C39=C41*2,D41,IF(O41="NO APLICA","",D41)))</f>
        <v/>
      </c>
      <c r="AO73" s="70" t="str">
        <f>+IF(C41="NO APLICA","",IF(C39=C41*2,0,IF(O41="NO APLICA","",0)))</f>
        <v/>
      </c>
      <c r="AP73" s="71" t="str">
        <f>+B41</f>
        <v>S/N</v>
      </c>
      <c r="AQ73" s="37"/>
    </row>
    <row r="74" spans="38:43" x14ac:dyDescent="0.25">
      <c r="AL74" s="54" t="s">
        <v>41</v>
      </c>
      <c r="AM74" s="62" t="str">
        <f>+IF(O43="NO APLICA","",MAX(E25:E60))</f>
        <v/>
      </c>
      <c r="AN74" s="62" t="str">
        <f>+IF(AN75="",IF(AN76="","",AN76),AN75)</f>
        <v/>
      </c>
      <c r="AO74" s="62" t="str">
        <f>+IF(AO75="",IF(AO76="","",AO76*1.25),AO75*1.15)</f>
        <v/>
      </c>
      <c r="AP74" s="63" t="str">
        <f>+B43</f>
        <v>S/N</v>
      </c>
      <c r="AQ74" s="37"/>
    </row>
    <row r="75" spans="38:43" x14ac:dyDescent="0.25">
      <c r="AL75" s="55" t="s">
        <v>42</v>
      </c>
      <c r="AM75" s="66" t="str">
        <f>+IF(N43="NO APLICA","",MAX(E25:E60)-E43*0.2)</f>
        <v/>
      </c>
      <c r="AN75" s="66" t="str">
        <f>+IF(N43="NO APLICA","",D43)</f>
        <v/>
      </c>
      <c r="AO75" s="66" t="str">
        <f>+IF(N43="NO APLICA","",AF43)</f>
        <v/>
      </c>
      <c r="AP75" s="67" t="str">
        <f>+B43</f>
        <v>S/N</v>
      </c>
      <c r="AQ75" s="37"/>
    </row>
    <row r="76" spans="38:43" x14ac:dyDescent="0.25">
      <c r="AL76" s="55" t="s">
        <v>43</v>
      </c>
      <c r="AM76" s="66" t="str">
        <f>+IF(O43="NO APLICA","",MAX(E25:E60)-E43*0.6)</f>
        <v/>
      </c>
      <c r="AN76" s="66" t="str">
        <f>+IF(O43="NO APLICA","",D43)</f>
        <v/>
      </c>
      <c r="AO76" s="66" t="str">
        <f>+IF(O43="NO APLICA","",AG43)</f>
        <v/>
      </c>
      <c r="AP76" s="67" t="str">
        <f>+B43</f>
        <v>S/N</v>
      </c>
      <c r="AQ76" s="37"/>
    </row>
    <row r="77" spans="38:43" x14ac:dyDescent="0.25">
      <c r="AL77" s="55" t="s">
        <v>44</v>
      </c>
      <c r="AM77" s="66" t="str">
        <f>+IF(P43="NO APLICA","",MAX(E25:E60)-E43*0.8)</f>
        <v/>
      </c>
      <c r="AN77" s="66" t="str">
        <f>+IF(P43="NO APLICA","",D43)</f>
        <v/>
      </c>
      <c r="AO77" s="66" t="str">
        <f>+IF(P43="NO APLICA","",AH43)</f>
        <v/>
      </c>
      <c r="AP77" s="67" t="str">
        <f>+B43</f>
        <v>S/N</v>
      </c>
      <c r="AQ77" s="37"/>
    </row>
    <row r="78" spans="38:43" x14ac:dyDescent="0.25">
      <c r="AL78" s="55" t="s">
        <v>52</v>
      </c>
      <c r="AM78" s="68" t="str">
        <f>+IF(AM77="",IF(AM76="","",(AM74-AM79)*0.1+AM79),(AM74-AM79)*0.1+AM79)</f>
        <v/>
      </c>
      <c r="AN78" s="68" t="str">
        <f>+IF(AN77="",IF(AN76="","",AN76),AN77)</f>
        <v/>
      </c>
      <c r="AO78" s="68" t="str">
        <f>+IF(AO77="",IF(AO76="","",AO76*0.75),AO77*0.85)</f>
        <v/>
      </c>
      <c r="AP78" s="67" t="str">
        <f>+B43</f>
        <v>S/N</v>
      </c>
      <c r="AQ78" s="37"/>
    </row>
    <row r="79" spans="38:43" x14ac:dyDescent="0.25">
      <c r="AL79" s="56" t="s">
        <v>45</v>
      </c>
      <c r="AM79" s="70" t="str">
        <f>+IF(C43="NO APLICA","",IF(C41=C43*2,MAX(E25:E60)-E43,IF(O43="NO APLICA","",MAX(E25:E60)-E43)))</f>
        <v/>
      </c>
      <c r="AN79" s="70" t="str">
        <f>+IF(C43="NO APLICA","",IF(C41=C43*2,D43,IF(O43="NO APLICA","",D43)))</f>
        <v/>
      </c>
      <c r="AO79" s="70" t="str">
        <f>+IF(C43="NO APLICA","",IF(C41=C43*2,0,IF(O43="NO APLICA","",0)))</f>
        <v/>
      </c>
      <c r="AP79" s="71" t="str">
        <f>+B43</f>
        <v>S/N</v>
      </c>
      <c r="AQ79" s="37"/>
    </row>
    <row r="80" spans="38:43" x14ac:dyDescent="0.25">
      <c r="AL80" s="54" t="s">
        <v>41</v>
      </c>
      <c r="AM80" s="62" t="str">
        <f>+IF(O45="NO APLICA","",MAX(E25:E60))</f>
        <v/>
      </c>
      <c r="AN80" s="62" t="str">
        <f>+IF(AN81="",IF(AN82="","",AN82),AN81)</f>
        <v/>
      </c>
      <c r="AO80" s="62" t="str">
        <f>+IF(AO81="",IF(AO82="","",AO82*1.25),AO81*1.15)</f>
        <v/>
      </c>
      <c r="AP80" s="63" t="str">
        <f>+B45</f>
        <v>S/N</v>
      </c>
      <c r="AQ80" s="37"/>
    </row>
    <row r="81" spans="38:43" x14ac:dyDescent="0.25">
      <c r="AL81" s="55" t="s">
        <v>42</v>
      </c>
      <c r="AM81" s="66" t="str">
        <f>+IF(N45="NO APLICA","",MAX(E25:E60)-E45*0.2)</f>
        <v/>
      </c>
      <c r="AN81" s="66" t="str">
        <f>+IF(N45="NO APLICA","",D45)</f>
        <v/>
      </c>
      <c r="AO81" s="66" t="str">
        <f>+IF(N45="NO APLICA","",AF45)</f>
        <v/>
      </c>
      <c r="AP81" s="67" t="str">
        <f>+B45</f>
        <v>S/N</v>
      </c>
      <c r="AQ81" s="37"/>
    </row>
    <row r="82" spans="38:43" x14ac:dyDescent="0.25">
      <c r="AL82" s="55" t="s">
        <v>43</v>
      </c>
      <c r="AM82" s="66" t="str">
        <f>+IF(O45="NO APLICA","",MAX(E25:E60)-E45*0.6)</f>
        <v/>
      </c>
      <c r="AN82" s="66" t="str">
        <f>+IF(O45="NO APLICA","",D45)</f>
        <v/>
      </c>
      <c r="AO82" s="66" t="str">
        <f>+IF(O45="NO APLICA","",AG45)</f>
        <v/>
      </c>
      <c r="AP82" s="67" t="str">
        <f>+B45</f>
        <v>S/N</v>
      </c>
      <c r="AQ82" s="37"/>
    </row>
    <row r="83" spans="38:43" x14ac:dyDescent="0.25">
      <c r="AL83" s="55" t="s">
        <v>44</v>
      </c>
      <c r="AM83" s="66" t="str">
        <f>+IF(P45="NO APLICA","",MAX(E25:E60)-E45*0.8)</f>
        <v/>
      </c>
      <c r="AN83" s="66" t="str">
        <f>+IF(P45="NO APLICA","",D45)</f>
        <v/>
      </c>
      <c r="AO83" s="66" t="str">
        <f>+IF(P45="NO APLICA","",AH45)</f>
        <v/>
      </c>
      <c r="AP83" s="67" t="str">
        <f>+B45</f>
        <v>S/N</v>
      </c>
      <c r="AQ83" s="37"/>
    </row>
    <row r="84" spans="38:43" x14ac:dyDescent="0.25">
      <c r="AL84" s="55" t="s">
        <v>52</v>
      </c>
      <c r="AM84" s="68" t="str">
        <f>+IF(AM83="",IF(AM82="","",(AM80-AM85)*0.1+AM85),(AM80-AM85)*0.1+AM85)</f>
        <v/>
      </c>
      <c r="AN84" s="68" t="str">
        <f>+IF(AN83="",IF(AN82="","",AN82),AN83)</f>
        <v/>
      </c>
      <c r="AO84" s="68" t="str">
        <f>+IF(AO83="",IF(AO82="","",AO82*0.75),AO83*0.85)</f>
        <v/>
      </c>
      <c r="AP84" s="67" t="str">
        <f>+B45</f>
        <v>S/N</v>
      </c>
      <c r="AQ84" s="37"/>
    </row>
    <row r="85" spans="38:43" x14ac:dyDescent="0.25">
      <c r="AL85" s="56" t="s">
        <v>45</v>
      </c>
      <c r="AM85" s="70" t="str">
        <f>+IF(C45="NO APLICA","",IF(C43=C45*2,MAX(E25:E60)-E45,IF(O45="NO APLICA","",MAX(E25:E60)-E45)))</f>
        <v/>
      </c>
      <c r="AN85" s="70" t="str">
        <f>+IF(C45="NO APLICA","",IF(C43=C45*2,D45,IF(O45="NO APLICA","",D45)))</f>
        <v/>
      </c>
      <c r="AO85" s="70" t="str">
        <f>+IF(C45="NO APLICA","",IF(C43=C45*2,0,IF(O45="NO APLICA","",0)))</f>
        <v/>
      </c>
      <c r="AP85" s="71" t="str">
        <f>+B45</f>
        <v>S/N</v>
      </c>
      <c r="AQ85" s="36"/>
    </row>
    <row r="86" spans="38:43" x14ac:dyDescent="0.25">
      <c r="AL86" s="54" t="s">
        <v>41</v>
      </c>
      <c r="AM86" s="62" t="str">
        <f>+IF(O47="NO APLICA","",MAX(E25:E60))</f>
        <v/>
      </c>
      <c r="AN86" s="62" t="str">
        <f>+IF(AN87="",IF(AN88="","",AN88),AN87)</f>
        <v/>
      </c>
      <c r="AO86" s="62" t="str">
        <f>+IF(AO87="",IF(AO88="","",AO88*1.25),AO87*1.15)</f>
        <v/>
      </c>
      <c r="AP86" s="63" t="str">
        <f>+B47</f>
        <v>S/N</v>
      </c>
      <c r="AQ86" s="36"/>
    </row>
    <row r="87" spans="38:43" x14ac:dyDescent="0.25">
      <c r="AL87" s="55" t="s">
        <v>42</v>
      </c>
      <c r="AM87" s="66" t="str">
        <f>+IF(N47="NO APLICA","",MAX(E25:E60)-E47*0.2)</f>
        <v/>
      </c>
      <c r="AN87" s="66" t="str">
        <f>+IF(N47="NO APLICA","",D47)</f>
        <v/>
      </c>
      <c r="AO87" s="66" t="str">
        <f>+IF(N47="NO APLICA","",AF47)</f>
        <v/>
      </c>
      <c r="AP87" s="67" t="str">
        <f>+B47</f>
        <v>S/N</v>
      </c>
      <c r="AQ87" s="36"/>
    </row>
    <row r="88" spans="38:43" x14ac:dyDescent="0.25">
      <c r="AL88" s="55" t="s">
        <v>43</v>
      </c>
      <c r="AM88" s="66" t="str">
        <f>+IF(O47="NO APLICA","",MAX(E25:E60)-E47*0.6)</f>
        <v/>
      </c>
      <c r="AN88" s="66" t="str">
        <f>+IF(O47="NO APLICA","",D47)</f>
        <v/>
      </c>
      <c r="AO88" s="66" t="str">
        <f>+IF(O47="NO APLICA","",AG47)</f>
        <v/>
      </c>
      <c r="AP88" s="67" t="str">
        <f>+B47</f>
        <v>S/N</v>
      </c>
      <c r="AQ88" s="36"/>
    </row>
    <row r="89" spans="38:43" x14ac:dyDescent="0.25">
      <c r="AL89" s="55" t="s">
        <v>44</v>
      </c>
      <c r="AM89" s="66" t="str">
        <f>+IF(P47="NO APLICA","",MAX(E25:E60)-E47*0.8)</f>
        <v/>
      </c>
      <c r="AN89" s="66" t="str">
        <f>+IF(P47="NO APLICA","",D47)</f>
        <v/>
      </c>
      <c r="AO89" s="66" t="str">
        <f>+IF(P47="NO APLICA","",AH47)</f>
        <v/>
      </c>
      <c r="AP89" s="67" t="str">
        <f>+B47</f>
        <v>S/N</v>
      </c>
      <c r="AQ89" s="36"/>
    </row>
    <row r="90" spans="38:43" x14ac:dyDescent="0.25">
      <c r="AL90" s="55" t="s">
        <v>52</v>
      </c>
      <c r="AM90" s="68" t="str">
        <f>+IF(AM89="",IF(AM88="","",(AM86-AM91)*0.1+AM91),(AM86-AM91)*0.1+AM91)</f>
        <v/>
      </c>
      <c r="AN90" s="68" t="str">
        <f>+IF(AN89="",IF(AN88="","",AN88),AN89)</f>
        <v/>
      </c>
      <c r="AO90" s="68" t="str">
        <f>+IF(AO89="",IF(AO88="","",AO88*0.75),AO89*0.85)</f>
        <v/>
      </c>
      <c r="AP90" s="67" t="str">
        <f>+B47</f>
        <v>S/N</v>
      </c>
      <c r="AQ90" s="36"/>
    </row>
    <row r="91" spans="38:43" x14ac:dyDescent="0.25">
      <c r="AL91" s="56" t="s">
        <v>45</v>
      </c>
      <c r="AM91" s="70" t="str">
        <f>+IF(C47="NO APLICA","",IF(C45=C47*2,MAX(E25:E60)-E47,IF(O47="NO APLICA","",MAX(E25:E60)-E47)))</f>
        <v/>
      </c>
      <c r="AN91" s="70" t="str">
        <f>+IF(C47="NO APLICA","",IF(C45=C47*2,D47,IF(O47="NO APLICA","",D47)))</f>
        <v/>
      </c>
      <c r="AO91" s="70" t="str">
        <f>+IF(C47="NO APLICA","",IF(C45=C47*2,0,IF(O47="NO APLICA","",0)))</f>
        <v/>
      </c>
      <c r="AP91" s="71" t="str">
        <f>+B47</f>
        <v>S/N</v>
      </c>
      <c r="AQ91" s="36"/>
    </row>
    <row r="92" spans="38:43" x14ac:dyDescent="0.25">
      <c r="AL92" s="54" t="s">
        <v>41</v>
      </c>
      <c r="AM92" s="62" t="str">
        <f>+IF(O49="NO APLICA","",MAX(E25:E60))</f>
        <v/>
      </c>
      <c r="AN92" s="62" t="str">
        <f>+IF(AN93="",IF(AN94="","",AN94),AN93)</f>
        <v/>
      </c>
      <c r="AO92" s="62" t="str">
        <f>+IF(AO93="",IF(AO94="","",AO94*1.25),AO93*1.15)</f>
        <v/>
      </c>
      <c r="AP92" s="63" t="str">
        <f>+B49</f>
        <v>S/N</v>
      </c>
      <c r="AQ92" s="36"/>
    </row>
    <row r="93" spans="38:43" x14ac:dyDescent="0.25">
      <c r="AL93" s="55" t="s">
        <v>42</v>
      </c>
      <c r="AM93" s="66" t="str">
        <f>+IF(N49="NO APLICA","",MAX(E25:E60)-E49*0.2)</f>
        <v/>
      </c>
      <c r="AN93" s="66" t="str">
        <f>+IF(N49="NO APLICA","",D49)</f>
        <v/>
      </c>
      <c r="AO93" s="66" t="str">
        <f>+IF(N49="NO APLICA","",AF49)</f>
        <v/>
      </c>
      <c r="AP93" s="67" t="str">
        <f>+B49</f>
        <v>S/N</v>
      </c>
      <c r="AQ93" s="36"/>
    </row>
    <row r="94" spans="38:43" x14ac:dyDescent="0.25">
      <c r="AL94" s="55" t="s">
        <v>43</v>
      </c>
      <c r="AM94" s="66" t="str">
        <f>+IF(O49="NO APLICA","",MAX(E25:E60)-E49*0.6)</f>
        <v/>
      </c>
      <c r="AN94" s="66" t="str">
        <f>+IF(O49="NO APLICA","",D49)</f>
        <v/>
      </c>
      <c r="AO94" s="66" t="str">
        <f>+IF(O49="NO APLICA","",AG49)</f>
        <v/>
      </c>
      <c r="AP94" s="67" t="str">
        <f>+B49</f>
        <v>S/N</v>
      </c>
      <c r="AQ94" s="36"/>
    </row>
    <row r="95" spans="38:43" x14ac:dyDescent="0.25">
      <c r="AL95" s="55" t="s">
        <v>44</v>
      </c>
      <c r="AM95" s="66" t="str">
        <f>+IF(P49="NO APLICA","",MAX(E25:E60)-E49*0.8)</f>
        <v/>
      </c>
      <c r="AN95" s="66" t="str">
        <f>+IF(P49="NO APLICA","",D49)</f>
        <v/>
      </c>
      <c r="AO95" s="66" t="str">
        <f>+IF(P49="NO APLICA","",AH49)</f>
        <v/>
      </c>
      <c r="AP95" s="67" t="str">
        <f>+B49</f>
        <v>S/N</v>
      </c>
      <c r="AQ95" s="36"/>
    </row>
    <row r="96" spans="38:43" x14ac:dyDescent="0.25">
      <c r="AL96" s="55" t="s">
        <v>52</v>
      </c>
      <c r="AM96" s="68" t="str">
        <f>+IF(AM95="",IF(AM94="","",(AM92-AM97)*0.1+AM97),(AM92-AM97)*0.1+AM97)</f>
        <v/>
      </c>
      <c r="AN96" s="68" t="str">
        <f>+IF(AN95="",IF(AN94="","",AN94),AN95)</f>
        <v/>
      </c>
      <c r="AO96" s="68" t="str">
        <f>+IF(AO95="",IF(AO94="","",AO94*0.75),AO95*0.85)</f>
        <v/>
      </c>
      <c r="AP96" s="67" t="str">
        <f>+B49</f>
        <v>S/N</v>
      </c>
      <c r="AQ96" s="36"/>
    </row>
    <row r="97" spans="37:44" x14ac:dyDescent="0.25">
      <c r="AL97" s="56" t="s">
        <v>45</v>
      </c>
      <c r="AM97" s="70" t="str">
        <f>+IF(C49="NO APLICA","",IF(C47=C49*2,MAX(E25:E60)-E49,IF(O49="NO APLICA","",MAX(E25:E60)-E49)))</f>
        <v/>
      </c>
      <c r="AN97" s="70" t="str">
        <f>+IF(C49="NO APLICA","",IF(C47=C49*2,D49,IF(O49="NO APLICA","",D49)))</f>
        <v/>
      </c>
      <c r="AO97" s="70" t="str">
        <f>+IF(C49="NO APLICA","",IF(C47=C49*2,0,IF(O49="NO APLICA","",0)))</f>
        <v/>
      </c>
      <c r="AP97" s="71" t="str">
        <f>+B49</f>
        <v>S/N</v>
      </c>
      <c r="AQ97" s="37"/>
      <c r="AR97" s="6"/>
    </row>
    <row r="98" spans="37:44" x14ac:dyDescent="0.25">
      <c r="AL98" s="54" t="s">
        <v>41</v>
      </c>
      <c r="AM98" s="62" t="str">
        <f>+IF(O51="NO APLICA","",MAX(E25:E60))</f>
        <v/>
      </c>
      <c r="AN98" s="62" t="str">
        <f>+IF(AN99="",IF(AN100="","",AN100),AN99)</f>
        <v/>
      </c>
      <c r="AO98" s="62" t="str">
        <f>+IF(AO99="",IF(AO100="","",AO100*1.25),AO99*1.15)</f>
        <v/>
      </c>
      <c r="AP98" s="63" t="str">
        <f>+B51</f>
        <v>S/N</v>
      </c>
      <c r="AQ98" s="37"/>
      <c r="AR98" s="6"/>
    </row>
    <row r="99" spans="37:44" x14ac:dyDescent="0.25">
      <c r="AL99" s="55" t="s">
        <v>42</v>
      </c>
      <c r="AM99" s="66" t="str">
        <f>+IF(N51="NO APLICA","",MAX(E25:E60)-E51*0.2)</f>
        <v/>
      </c>
      <c r="AN99" s="66" t="str">
        <f>+IF(N51="NO APLICA","",D51)</f>
        <v/>
      </c>
      <c r="AO99" s="66" t="str">
        <f>+IF(N51="NO APLICA","",AF51)</f>
        <v/>
      </c>
      <c r="AP99" s="67" t="str">
        <f>+B51</f>
        <v>S/N</v>
      </c>
      <c r="AQ99" s="37"/>
      <c r="AR99" s="6"/>
    </row>
    <row r="100" spans="37:44" x14ac:dyDescent="0.25">
      <c r="AL100" s="55" t="s">
        <v>43</v>
      </c>
      <c r="AM100" s="66" t="str">
        <f>+IF(O51="NO APLICA","",MAX(E25:E60)-E51*0.6)</f>
        <v/>
      </c>
      <c r="AN100" s="66" t="str">
        <f>+IF(O51="NO APLICA","",D51)</f>
        <v/>
      </c>
      <c r="AO100" s="66" t="str">
        <f>+IF(O51="NO APLICA","",AG51)</f>
        <v/>
      </c>
      <c r="AP100" s="67" t="str">
        <f>+B51</f>
        <v>S/N</v>
      </c>
      <c r="AQ100" s="37"/>
      <c r="AR100" s="6"/>
    </row>
    <row r="101" spans="37:44" x14ac:dyDescent="0.25">
      <c r="AL101" s="55" t="s">
        <v>44</v>
      </c>
      <c r="AM101" s="66" t="str">
        <f>+IF(P51="NO APLICA","",MAX(E25:E60)-E51*0.8)</f>
        <v/>
      </c>
      <c r="AN101" s="66" t="str">
        <f>+IF(P51="NO APLICA","",D51)</f>
        <v/>
      </c>
      <c r="AO101" s="66" t="str">
        <f>+IF(P51="NO APLICA","",AH51)</f>
        <v/>
      </c>
      <c r="AP101" s="67" t="str">
        <f>+B51</f>
        <v>S/N</v>
      </c>
      <c r="AQ101" s="37"/>
      <c r="AR101" s="6"/>
    </row>
    <row r="102" spans="37:44" x14ac:dyDescent="0.25">
      <c r="AL102" s="55" t="s">
        <v>52</v>
      </c>
      <c r="AM102" s="68" t="str">
        <f>+IF(AM101="",IF(AM100="","",(AM98-AM103)*0.1+AM103),(AM98-AM103)*0.1+AM103)</f>
        <v/>
      </c>
      <c r="AN102" s="68" t="str">
        <f>+IF(AN101="",IF(AN100="","",AN100),AN101)</f>
        <v/>
      </c>
      <c r="AO102" s="68" t="str">
        <f>+IF(AO101="",IF(AO100="","",AO100*0.75),AO101*0.85)</f>
        <v/>
      </c>
      <c r="AP102" s="67" t="str">
        <f>+B51</f>
        <v>S/N</v>
      </c>
      <c r="AQ102" s="37"/>
      <c r="AR102" s="6"/>
    </row>
    <row r="103" spans="37:44" x14ac:dyDescent="0.25">
      <c r="AL103" s="56" t="s">
        <v>45</v>
      </c>
      <c r="AM103" s="70" t="str">
        <f>+IF(C51="NO APLICA","",IF(C49=C51*2,MAX(E25:E60)-E51,IF(O51="NO APLICA","",MAX(E25:E60)-E51)))</f>
        <v/>
      </c>
      <c r="AN103" s="70" t="str">
        <f>+IF(C51="NO APLICA","",IF(C49=C51*2,D51,IF(O51="NO APLICA","",D51)))</f>
        <v/>
      </c>
      <c r="AO103" s="70" t="str">
        <f>+IF(C51="NO APLICA","",IF(C49=C51*2,0,IF(O51="NO APLICA","",0)))</f>
        <v/>
      </c>
      <c r="AP103" s="71" t="str">
        <f>+B51</f>
        <v>S/N</v>
      </c>
      <c r="AQ103" s="37"/>
      <c r="AR103" s="6"/>
    </row>
    <row r="104" spans="37:44" x14ac:dyDescent="0.25">
      <c r="AL104" s="54" t="s">
        <v>41</v>
      </c>
      <c r="AM104" s="62" t="str">
        <f>+IF(O53="NO APLICA","",MAX(E25:E60))</f>
        <v/>
      </c>
      <c r="AN104" s="62" t="str">
        <f>+IF(AN105="",IF(AN106="","",AN106),AN105)</f>
        <v/>
      </c>
      <c r="AO104" s="62" t="str">
        <f>+IF(AO105="",IF(AO106="","",AO106*1.25),AO105*1.15)</f>
        <v/>
      </c>
      <c r="AP104" s="63" t="str">
        <f>+B53</f>
        <v>S/N</v>
      </c>
      <c r="AQ104" s="37"/>
      <c r="AR104" s="6"/>
    </row>
    <row r="105" spans="37:44" x14ac:dyDescent="0.25">
      <c r="AL105" s="55" t="s">
        <v>42</v>
      </c>
      <c r="AM105" s="66" t="str">
        <f>+IF(N53="NO APLICA","",MAX(E25:E60)-E53*0.2)</f>
        <v/>
      </c>
      <c r="AN105" s="66" t="str">
        <f>+IF(N53="NO APLICA","",D53)</f>
        <v/>
      </c>
      <c r="AO105" s="66" t="str">
        <f>+IF(N53="NO APLICA","",AF53)</f>
        <v/>
      </c>
      <c r="AP105" s="67" t="str">
        <f>+B53</f>
        <v>S/N</v>
      </c>
      <c r="AQ105" s="37"/>
      <c r="AR105" s="6"/>
    </row>
    <row r="106" spans="37:44" x14ac:dyDescent="0.25">
      <c r="AL106" s="55" t="s">
        <v>43</v>
      </c>
      <c r="AM106" s="66" t="str">
        <f>+IF(O53="NO APLICA","",MAX(E25:E60)-E53*0.6)</f>
        <v/>
      </c>
      <c r="AN106" s="66" t="str">
        <f>+IF(O53="NO APLICA","",D53)</f>
        <v/>
      </c>
      <c r="AO106" s="66" t="str">
        <f>+IF(O53="NO APLICA","",AG53)</f>
        <v/>
      </c>
      <c r="AP106" s="67" t="str">
        <f>+B53</f>
        <v>S/N</v>
      </c>
      <c r="AQ106" s="37"/>
      <c r="AR106" s="6"/>
    </row>
    <row r="107" spans="37:44" x14ac:dyDescent="0.25">
      <c r="AL107" s="55" t="s">
        <v>44</v>
      </c>
      <c r="AM107" s="66" t="str">
        <f>+IF(P53="NO APLICA","",MAX(E25:E60)-E51*0.8)</f>
        <v/>
      </c>
      <c r="AN107" s="66" t="str">
        <f>+IF(P53="NO APLICA","",D53)</f>
        <v/>
      </c>
      <c r="AO107" s="66" t="str">
        <f>+IF(P53="NO APLICA","",AH53)</f>
        <v/>
      </c>
      <c r="AP107" s="67" t="str">
        <f>+B53</f>
        <v>S/N</v>
      </c>
      <c r="AQ107" s="37"/>
      <c r="AR107" s="6"/>
    </row>
    <row r="108" spans="37:44" x14ac:dyDescent="0.25">
      <c r="AL108" s="55" t="s">
        <v>52</v>
      </c>
      <c r="AM108" s="68" t="str">
        <f>+IF(AM107="",IF(AM106="","",(AM104-AM109)*0.1+AM109),(AM104-AM109)*0.1+AM109)</f>
        <v/>
      </c>
      <c r="AN108" s="68" t="str">
        <f>+IF(AN107="",IF(AN106="","",AN106),AN107)</f>
        <v/>
      </c>
      <c r="AO108" s="68" t="str">
        <f>+IF(AO107="",IF(AO106="","",AO106*0.75),AO107*0.85)</f>
        <v/>
      </c>
      <c r="AP108" s="67" t="str">
        <f>+B53</f>
        <v>S/N</v>
      </c>
      <c r="AQ108" s="37"/>
      <c r="AR108" s="6"/>
    </row>
    <row r="109" spans="37:44" x14ac:dyDescent="0.25">
      <c r="AK109" s="6"/>
      <c r="AL109" s="56" t="s">
        <v>45</v>
      </c>
      <c r="AM109" s="70" t="str">
        <f>+IF(C53="NO APLICA","",IF(C51=C53*2,MAX(E25:E60)-E53,IF(O53="NO APLICA","",MAX(E25:E60)-E53)))</f>
        <v/>
      </c>
      <c r="AN109" s="70" t="str">
        <f>+IF(C53="NO APLICA","",IF(C51=C53*2,D53,IF(O53="NO APLICA","",D53)))</f>
        <v/>
      </c>
      <c r="AO109" s="70" t="str">
        <f>+IF(C53="NO APLICA","",IF(C51=C53*2,0,IF(O53="NO APLICA","",0)))</f>
        <v/>
      </c>
      <c r="AP109" s="71" t="str">
        <f>+B53</f>
        <v>S/N</v>
      </c>
      <c r="AQ109" s="37"/>
      <c r="AR109" s="6"/>
    </row>
    <row r="110" spans="37:44" x14ac:dyDescent="0.25">
      <c r="AK110" s="6"/>
      <c r="AL110" s="54" t="s">
        <v>41</v>
      </c>
      <c r="AM110" s="62" t="str">
        <f>+IF(O55="NO APLICA","",MAX(E25:E60))</f>
        <v/>
      </c>
      <c r="AN110" s="62" t="str">
        <f>+IF(AN111="",IF(AN112="","",AN112),AN111)</f>
        <v/>
      </c>
      <c r="AO110" s="62" t="str">
        <f>+IF(AO111="",IF(AO112="","",AO112*1.25),AO111*1.15)</f>
        <v/>
      </c>
      <c r="AP110" s="63" t="str">
        <f>+B55</f>
        <v>S/N</v>
      </c>
      <c r="AQ110" s="37"/>
      <c r="AR110" s="6"/>
    </row>
    <row r="111" spans="37:44" x14ac:dyDescent="0.25">
      <c r="AK111" s="6"/>
      <c r="AL111" s="55" t="s">
        <v>42</v>
      </c>
      <c r="AM111" s="66" t="str">
        <f>+IF(N55="NO APLICA","",MAX(E25:E60)-E55*0.2)</f>
        <v/>
      </c>
      <c r="AN111" s="66" t="str">
        <f>+IF(N55="NO APLICA","",D55)</f>
        <v/>
      </c>
      <c r="AO111" s="66" t="str">
        <f>+IF(N55="NO APLICA","",AF55)</f>
        <v/>
      </c>
      <c r="AP111" s="67" t="str">
        <f>+B55</f>
        <v>S/N</v>
      </c>
      <c r="AQ111" s="37"/>
      <c r="AR111" s="6"/>
    </row>
    <row r="112" spans="37:44" x14ac:dyDescent="0.25">
      <c r="AK112" s="6"/>
      <c r="AL112" s="55" t="s">
        <v>43</v>
      </c>
      <c r="AM112" s="66" t="str">
        <f>+IF(O55="NO APLICA","",MAX(E25:E60)-E55*0.6)</f>
        <v/>
      </c>
      <c r="AN112" s="66" t="str">
        <f>+IF(O55="NO APLICA","",D55)</f>
        <v/>
      </c>
      <c r="AO112" s="66" t="str">
        <f>+IF(O55="NO APLICA","",AG55)</f>
        <v/>
      </c>
      <c r="AP112" s="67" t="str">
        <f>+B55</f>
        <v>S/N</v>
      </c>
      <c r="AQ112" s="37"/>
      <c r="AR112" s="6"/>
    </row>
    <row r="113" spans="37:44" x14ac:dyDescent="0.25">
      <c r="AK113" s="6"/>
      <c r="AL113" s="55" t="s">
        <v>44</v>
      </c>
      <c r="AM113" s="66" t="str">
        <f>+IF(P55="NO APLICA","",MAX(E25:E60)-E55*0.8)</f>
        <v/>
      </c>
      <c r="AN113" s="66" t="str">
        <f>+IF(P55="NO APLICA","",D55)</f>
        <v/>
      </c>
      <c r="AO113" s="66" t="str">
        <f>+IF(P55="NO APLICA","",AH55)</f>
        <v/>
      </c>
      <c r="AP113" s="67" t="str">
        <f>+B55</f>
        <v>S/N</v>
      </c>
      <c r="AQ113" s="37"/>
      <c r="AR113" s="6"/>
    </row>
    <row r="114" spans="37:44" x14ac:dyDescent="0.25">
      <c r="AK114" s="6"/>
      <c r="AL114" s="55" t="s">
        <v>52</v>
      </c>
      <c r="AM114" s="68" t="str">
        <f>+IF(AM113="",IF(AM112="","",(AM110-AM115)*0.1+AM115),(AM110-AM115)*0.1+AM115)</f>
        <v/>
      </c>
      <c r="AN114" s="68" t="str">
        <f>+IF(AN113="",IF(AN112="","",AN112),AN113)</f>
        <v/>
      </c>
      <c r="AO114" s="68" t="str">
        <f>+IF(AO113="",IF(AO112="","",AO112*0.75),AO113*0.85)</f>
        <v/>
      </c>
      <c r="AP114" s="67" t="str">
        <f>+B55</f>
        <v>S/N</v>
      </c>
      <c r="AQ114" s="37"/>
      <c r="AR114" s="6"/>
    </row>
    <row r="115" spans="37:44" x14ac:dyDescent="0.25">
      <c r="AK115" s="6"/>
      <c r="AL115" s="56" t="s">
        <v>45</v>
      </c>
      <c r="AM115" s="70" t="str">
        <f>+IF(C55="NO APLICA","",IF(C53=C55*2,MAX(E25:E60)-E55,IF(O55="NO APLICA","",MAX(E25:E60)-E55)))</f>
        <v/>
      </c>
      <c r="AN115" s="70" t="str">
        <f>+IF(C55="NO APLICA","",IF(C53=C55*2,D55,IF(O55="NO APLICA","",D55)))</f>
        <v/>
      </c>
      <c r="AO115" s="70" t="str">
        <f>+IF(C55="NO APLICA","",IF(C53=C55*2,0,IF(O55="NO APLICA","",0)))</f>
        <v/>
      </c>
      <c r="AP115" s="71" t="str">
        <f>+B55</f>
        <v>S/N</v>
      </c>
      <c r="AQ115" s="37"/>
      <c r="AR115" s="6"/>
    </row>
    <row r="116" spans="37:44" x14ac:dyDescent="0.25">
      <c r="AK116" s="6"/>
      <c r="AL116" s="54" t="s">
        <v>41</v>
      </c>
      <c r="AM116" s="62" t="str">
        <f>+IF(O57="NO APLICA","",MAX(E25:E60))</f>
        <v/>
      </c>
      <c r="AN116" s="62" t="str">
        <f>+IF(AN117="",IF(AN118="","",AN118),AN117)</f>
        <v/>
      </c>
      <c r="AO116" s="62" t="str">
        <f>+IF(AO117="",IF(AO118="","",AO118*1.25),AO117*1.15)</f>
        <v/>
      </c>
      <c r="AP116" s="63" t="str">
        <f>+B57</f>
        <v>S/N</v>
      </c>
      <c r="AQ116" s="37"/>
      <c r="AR116" s="6"/>
    </row>
    <row r="117" spans="37:44" x14ac:dyDescent="0.25">
      <c r="AK117" s="6"/>
      <c r="AL117" s="55" t="s">
        <v>42</v>
      </c>
      <c r="AM117" s="66" t="str">
        <f>+IF(N57="NO APLICA","",MAX(E25:E60)-E57*0.2)</f>
        <v/>
      </c>
      <c r="AN117" s="66" t="str">
        <f>+IF(N57="NO APLICA","",D57)</f>
        <v/>
      </c>
      <c r="AO117" s="66" t="str">
        <f>+IF(N57="NO APLICA","",AF57)</f>
        <v/>
      </c>
      <c r="AP117" s="67" t="str">
        <f>+B57</f>
        <v>S/N</v>
      </c>
      <c r="AQ117" s="37"/>
      <c r="AR117" s="6"/>
    </row>
    <row r="118" spans="37:44" x14ac:dyDescent="0.25">
      <c r="AK118" s="6"/>
      <c r="AL118" s="55" t="s">
        <v>43</v>
      </c>
      <c r="AM118" s="66" t="str">
        <f>+IF(O57="NO APLICA","",MAX(E25:E60)-E57*0.6)</f>
        <v/>
      </c>
      <c r="AN118" s="66" t="str">
        <f>+IF(O57="NO APLICA","",D57)</f>
        <v/>
      </c>
      <c r="AO118" s="66" t="str">
        <f>+IF(O57="NO APLICA","",AG57)</f>
        <v/>
      </c>
      <c r="AP118" s="67" t="str">
        <f>+B57</f>
        <v>S/N</v>
      </c>
      <c r="AQ118" s="37"/>
      <c r="AR118" s="6"/>
    </row>
    <row r="119" spans="37:44" x14ac:dyDescent="0.25">
      <c r="AK119" s="6"/>
      <c r="AL119" s="55" t="s">
        <v>44</v>
      </c>
      <c r="AM119" s="66" t="str">
        <f>+IF(P57="NO APLICA","",MAX(E25:E60)-E57*0.8)</f>
        <v/>
      </c>
      <c r="AN119" s="66" t="str">
        <f>+IF(P57="NO APLICA","",D57)</f>
        <v/>
      </c>
      <c r="AO119" s="66" t="str">
        <f>+IF(P57="NO APLICA","",AH57)</f>
        <v/>
      </c>
      <c r="AP119" s="67" t="str">
        <f>+B57</f>
        <v>S/N</v>
      </c>
      <c r="AQ119" s="37"/>
      <c r="AR119" s="6"/>
    </row>
    <row r="120" spans="37:44" x14ac:dyDescent="0.25">
      <c r="AK120" s="6"/>
      <c r="AL120" s="55" t="s">
        <v>52</v>
      </c>
      <c r="AM120" s="68" t="str">
        <f>+IF(AM119="",IF(AM118="","",(AM116-AM121)*0.1+AM121),(AM116-AM121)*0.1+AM121)</f>
        <v/>
      </c>
      <c r="AN120" s="68" t="str">
        <f>+IF(AN119="",IF(AN118="","",AN118),AN119)</f>
        <v/>
      </c>
      <c r="AO120" s="68" t="str">
        <f>+IF(AO119="",IF(AO118="","",AO118*0.75),AO119*0.85)</f>
        <v/>
      </c>
      <c r="AP120" s="67" t="str">
        <f>+B57</f>
        <v>S/N</v>
      </c>
      <c r="AQ120" s="37"/>
      <c r="AR120" s="6"/>
    </row>
    <row r="121" spans="37:44" x14ac:dyDescent="0.25">
      <c r="AK121" s="6"/>
      <c r="AL121" s="55" t="s">
        <v>45</v>
      </c>
      <c r="AM121" s="66" t="str">
        <f>+IF(C57="NO APLICA","",IF(C55=C57*2,MAX(E25:E60)-E57,IF(O57="NO APLICA","",MAX(E25:E60)-E57)))</f>
        <v/>
      </c>
      <c r="AN121" s="66" t="str">
        <f>+IF(C57="NO APLICA","",IF(C55=C57*2,D57,IF(O57="NO APLICA","",D57)))</f>
        <v/>
      </c>
      <c r="AO121" s="66" t="str">
        <f>+IF(C57="NO APLICA","",IF(C55=C57*2,0,IF(O57="NO APLICA","",0)))</f>
        <v/>
      </c>
      <c r="AP121" s="71" t="str">
        <f>+B57</f>
        <v>S/N</v>
      </c>
      <c r="AQ121" s="37"/>
      <c r="AR121" s="6"/>
    </row>
    <row r="122" spans="37:44" x14ac:dyDescent="0.25">
      <c r="AL122" s="57" t="s">
        <v>58</v>
      </c>
      <c r="AM122" s="72" t="str">
        <f>+IF(AM118="","",MAX(E25:E60)-E59)</f>
        <v/>
      </c>
      <c r="AN122" s="73" t="str">
        <f>+IF(AM122="","",D59)</f>
        <v/>
      </c>
      <c r="AO122" s="73" t="str">
        <f>+IF(AM122="","",0)</f>
        <v/>
      </c>
      <c r="AP122" s="74" t="str">
        <f>+B59</f>
        <v>S/N</v>
      </c>
      <c r="AQ122" s="37"/>
      <c r="AR122" s="6"/>
    </row>
    <row r="123" spans="37:44" x14ac:dyDescent="0.25">
      <c r="AL123" s="7"/>
      <c r="AM123" s="38"/>
      <c r="AN123" s="39"/>
      <c r="AO123" s="39"/>
      <c r="AP123" s="37"/>
      <c r="AQ123" s="37"/>
      <c r="AR123" s="6"/>
    </row>
    <row r="124" spans="37:44" x14ac:dyDescent="0.25">
      <c r="AL124" s="7"/>
      <c r="AM124" s="34"/>
      <c r="AN124" s="34"/>
      <c r="AO124" s="35"/>
      <c r="AP124" s="37"/>
      <c r="AQ124" s="37"/>
      <c r="AR124" s="6"/>
    </row>
    <row r="125" spans="37:44" x14ac:dyDescent="0.25">
      <c r="AL125" s="7"/>
      <c r="AM125" s="34"/>
      <c r="AN125" s="34"/>
      <c r="AO125" s="35"/>
      <c r="AP125" s="37"/>
      <c r="AQ125" s="37"/>
      <c r="AR125" s="6"/>
    </row>
    <row r="126" spans="37:44" x14ac:dyDescent="0.25">
      <c r="AL126" s="7"/>
      <c r="AM126" s="34"/>
      <c r="AN126" s="34"/>
      <c r="AO126" s="35"/>
      <c r="AP126" s="37"/>
      <c r="AQ126" s="37"/>
      <c r="AR126" s="6"/>
    </row>
    <row r="127" spans="37:44" x14ac:dyDescent="0.25">
      <c r="AL127" s="7"/>
      <c r="AM127" s="39"/>
      <c r="AN127" s="39"/>
      <c r="AO127" s="39"/>
      <c r="AP127" s="37"/>
      <c r="AQ127" s="37"/>
      <c r="AR127" s="6"/>
    </row>
    <row r="128" spans="37:44" x14ac:dyDescent="0.25">
      <c r="AL128" s="7"/>
      <c r="AM128" s="38"/>
      <c r="AN128" s="39"/>
      <c r="AO128" s="39"/>
      <c r="AP128" s="37"/>
      <c r="AQ128" s="37"/>
      <c r="AR128" s="6"/>
    </row>
    <row r="129" spans="38:44" x14ac:dyDescent="0.25">
      <c r="AL129" s="7"/>
      <c r="AM129" s="34"/>
      <c r="AN129" s="34"/>
      <c r="AO129" s="35"/>
      <c r="AP129" s="37"/>
      <c r="AQ129" s="37"/>
      <c r="AR129" s="6"/>
    </row>
    <row r="130" spans="38:44" x14ac:dyDescent="0.25">
      <c r="AL130" s="7"/>
      <c r="AM130" s="34"/>
      <c r="AN130" s="34"/>
      <c r="AO130" s="35"/>
      <c r="AP130" s="37"/>
      <c r="AQ130" s="37"/>
      <c r="AR130" s="6"/>
    </row>
    <row r="131" spans="38:44" x14ac:dyDescent="0.25">
      <c r="AL131" s="7"/>
      <c r="AM131" s="34"/>
      <c r="AN131" s="34"/>
      <c r="AO131" s="35"/>
      <c r="AP131" s="37"/>
      <c r="AQ131" s="37"/>
      <c r="AR131" s="6"/>
    </row>
    <row r="132" spans="38:44" x14ac:dyDescent="0.25">
      <c r="AL132" s="7"/>
      <c r="AM132" s="39"/>
      <c r="AN132" s="39"/>
      <c r="AO132" s="39"/>
      <c r="AP132" s="37"/>
      <c r="AQ132" s="37"/>
      <c r="AR132" s="6"/>
    </row>
    <row r="133" spans="38:44" x14ac:dyDescent="0.25">
      <c r="AL133" s="7"/>
      <c r="AM133" s="34"/>
      <c r="AN133" s="34"/>
      <c r="AO133" s="35"/>
      <c r="AP133" s="37"/>
      <c r="AQ133" s="37"/>
      <c r="AR133" s="6"/>
    </row>
    <row r="134" spans="38:44" x14ac:dyDescent="0.25">
      <c r="AL134" s="7"/>
      <c r="AM134" s="7"/>
      <c r="AN134" s="7"/>
      <c r="AO134" s="6"/>
      <c r="AP134" s="37"/>
      <c r="AQ134" s="37"/>
      <c r="AR134" s="6"/>
    </row>
    <row r="135" spans="38:44" x14ac:dyDescent="0.25">
      <c r="AL135" s="7"/>
      <c r="AM135" s="7"/>
      <c r="AN135" s="7"/>
      <c r="AO135" s="6"/>
      <c r="AP135" s="37"/>
      <c r="AQ135" s="37"/>
      <c r="AR135" s="6"/>
    </row>
    <row r="136" spans="38:44" x14ac:dyDescent="0.25">
      <c r="AL136" s="7"/>
      <c r="AM136" s="7"/>
      <c r="AN136" s="7"/>
      <c r="AO136" s="6"/>
      <c r="AP136" s="37"/>
      <c r="AQ136" s="37"/>
      <c r="AR136" s="6"/>
    </row>
    <row r="137" spans="38:44" x14ac:dyDescent="0.25">
      <c r="AL137" s="7"/>
      <c r="AM137" s="7"/>
      <c r="AN137" s="7"/>
      <c r="AO137" s="6"/>
      <c r="AP137" s="37"/>
      <c r="AQ137" s="37"/>
      <c r="AR137" s="6"/>
    </row>
    <row r="138" spans="38:44" x14ac:dyDescent="0.25">
      <c r="AP138" s="36"/>
      <c r="AQ138" s="36"/>
    </row>
    <row r="139" spans="38:44" x14ac:dyDescent="0.25">
      <c r="AP139" s="36"/>
      <c r="AQ139" s="36"/>
    </row>
    <row r="140" spans="38:44" x14ac:dyDescent="0.25">
      <c r="AP140" s="36"/>
      <c r="AQ140" s="36"/>
    </row>
    <row r="141" spans="38:44" x14ac:dyDescent="0.25">
      <c r="AP141" s="36"/>
      <c r="AQ141" s="36"/>
    </row>
    <row r="142" spans="38:44" x14ac:dyDescent="0.25">
      <c r="AP142" s="36"/>
      <c r="AQ142" s="36"/>
    </row>
    <row r="143" spans="38:44" x14ac:dyDescent="0.25">
      <c r="AP143" s="36"/>
      <c r="AQ143" s="36"/>
    </row>
    <row r="144" spans="38:44" x14ac:dyDescent="0.25">
      <c r="AP144" s="36"/>
      <c r="AQ144" s="36"/>
    </row>
    <row r="145" spans="42:43" x14ac:dyDescent="0.25">
      <c r="AP145" s="36"/>
      <c r="AQ145" s="36"/>
    </row>
    <row r="146" spans="42:43" x14ac:dyDescent="0.25">
      <c r="AP146" s="36"/>
      <c r="AQ146" s="36"/>
    </row>
    <row r="147" spans="42:43" x14ac:dyDescent="0.25">
      <c r="AP147" s="36"/>
      <c r="AQ147" s="36"/>
    </row>
    <row r="148" spans="42:43" x14ac:dyDescent="0.25">
      <c r="AP148" s="36"/>
      <c r="AQ148" s="36"/>
    </row>
    <row r="149" spans="42:43" x14ac:dyDescent="0.25">
      <c r="AP149" s="36"/>
      <c r="AQ149" s="36"/>
    </row>
    <row r="150" spans="42:43" x14ac:dyDescent="0.25">
      <c r="AP150" s="36"/>
      <c r="AQ150" s="36"/>
    </row>
    <row r="151" spans="42:43" x14ac:dyDescent="0.25">
      <c r="AP151" s="36"/>
      <c r="AQ151" s="36"/>
    </row>
    <row r="152" spans="42:43" x14ac:dyDescent="0.25">
      <c r="AP152" s="36"/>
      <c r="AQ152" s="36"/>
    </row>
    <row r="153" spans="42:43" x14ac:dyDescent="0.25">
      <c r="AP153" s="36"/>
      <c r="AQ153" s="36"/>
    </row>
    <row r="154" spans="42:43" x14ac:dyDescent="0.25">
      <c r="AP154" s="36"/>
      <c r="AQ154" s="36"/>
    </row>
    <row r="155" spans="42:43" x14ac:dyDescent="0.25">
      <c r="AP155" s="36"/>
      <c r="AQ155" s="36"/>
    </row>
    <row r="156" spans="42:43" x14ac:dyDescent="0.25">
      <c r="AP156" s="36"/>
      <c r="AQ156" s="36"/>
    </row>
    <row r="157" spans="42:43" x14ac:dyDescent="0.25">
      <c r="AP157" s="36"/>
      <c r="AQ157" s="36"/>
    </row>
    <row r="158" spans="42:43" x14ac:dyDescent="0.25">
      <c r="AP158" s="36"/>
      <c r="AQ158" s="36"/>
    </row>
    <row r="159" spans="42:43" x14ac:dyDescent="0.25">
      <c r="AP159" s="36"/>
      <c r="AQ159" s="36"/>
    </row>
    <row r="160" spans="42:43" x14ac:dyDescent="0.25">
      <c r="AP160" s="36"/>
      <c r="AQ160" s="36"/>
    </row>
    <row r="161" spans="42:43" x14ac:dyDescent="0.25">
      <c r="AP161" s="36"/>
      <c r="AQ161" s="36"/>
    </row>
    <row r="162" spans="42:43" x14ac:dyDescent="0.25">
      <c r="AP162" s="36"/>
      <c r="AQ162" s="36"/>
    </row>
    <row r="163" spans="42:43" x14ac:dyDescent="0.25">
      <c r="AP163" s="36"/>
      <c r="AQ163" s="36"/>
    </row>
    <row r="164" spans="42:43" x14ac:dyDescent="0.25">
      <c r="AP164" s="36"/>
      <c r="AQ164" s="36"/>
    </row>
    <row r="165" spans="42:43" x14ac:dyDescent="0.25">
      <c r="AP165" s="36"/>
      <c r="AQ165" s="36"/>
    </row>
    <row r="166" spans="42:43" x14ac:dyDescent="0.25">
      <c r="AP166" s="36"/>
      <c r="AQ166" s="36"/>
    </row>
    <row r="167" spans="42:43" x14ac:dyDescent="0.25">
      <c r="AP167" s="36"/>
      <c r="AQ167" s="36"/>
    </row>
    <row r="168" spans="42:43" x14ac:dyDescent="0.25">
      <c r="AP168" s="36"/>
      <c r="AQ168" s="36"/>
    </row>
    <row r="169" spans="42:43" x14ac:dyDescent="0.25">
      <c r="AP169" s="36"/>
      <c r="AQ169" s="36"/>
    </row>
    <row r="170" spans="42:43" x14ac:dyDescent="0.25">
      <c r="AP170" s="36"/>
      <c r="AQ170" s="36"/>
    </row>
    <row r="171" spans="42:43" x14ac:dyDescent="0.25">
      <c r="AP171" s="36"/>
      <c r="AQ171" s="36"/>
    </row>
    <row r="172" spans="42:43" x14ac:dyDescent="0.25">
      <c r="AP172" s="36"/>
      <c r="AQ172" s="36"/>
    </row>
    <row r="173" spans="42:43" x14ac:dyDescent="0.25">
      <c r="AP173" s="36"/>
      <c r="AQ173" s="36"/>
    </row>
    <row r="174" spans="42:43" x14ac:dyDescent="0.25">
      <c r="AP174" s="36"/>
      <c r="AQ174" s="36"/>
    </row>
    <row r="175" spans="42:43" x14ac:dyDescent="0.25">
      <c r="AP175" s="36"/>
      <c r="AQ175" s="36"/>
    </row>
    <row r="176" spans="42:43" x14ac:dyDescent="0.25">
      <c r="AP176" s="36"/>
      <c r="AQ176" s="36"/>
    </row>
    <row r="177" spans="42:43" x14ac:dyDescent="0.25">
      <c r="AP177" s="36"/>
      <c r="AQ177" s="36"/>
    </row>
    <row r="178" spans="42:43" x14ac:dyDescent="0.25">
      <c r="AP178" s="36"/>
      <c r="AQ178" s="36"/>
    </row>
    <row r="179" spans="42:43" x14ac:dyDescent="0.25">
      <c r="AP179" s="36"/>
      <c r="AQ179" s="36"/>
    </row>
    <row r="180" spans="42:43" x14ac:dyDescent="0.25">
      <c r="AP180" s="36"/>
      <c r="AQ180" s="36"/>
    </row>
    <row r="181" spans="42:43" x14ac:dyDescent="0.25">
      <c r="AP181" s="36"/>
      <c r="AQ181" s="36"/>
    </row>
    <row r="182" spans="42:43" x14ac:dyDescent="0.25">
      <c r="AP182" s="36"/>
      <c r="AQ182" s="36"/>
    </row>
    <row r="183" spans="42:43" x14ac:dyDescent="0.25">
      <c r="AP183" s="36"/>
      <c r="AQ183" s="36"/>
    </row>
    <row r="184" spans="42:43" x14ac:dyDescent="0.25">
      <c r="AP184" s="36"/>
      <c r="AQ184" s="36"/>
    </row>
    <row r="185" spans="42:43" x14ac:dyDescent="0.25">
      <c r="AP185" s="36"/>
      <c r="AQ185" s="36"/>
    </row>
    <row r="186" spans="42:43" x14ac:dyDescent="0.25">
      <c r="AP186" s="36"/>
      <c r="AQ186" s="36"/>
    </row>
    <row r="187" spans="42:43" x14ac:dyDescent="0.25">
      <c r="AP187" s="36"/>
      <c r="AQ187" s="36"/>
    </row>
    <row r="188" spans="42:43" x14ac:dyDescent="0.25">
      <c r="AP188" s="36"/>
      <c r="AQ188" s="36"/>
    </row>
    <row r="189" spans="42:43" x14ac:dyDescent="0.25">
      <c r="AP189" s="36"/>
      <c r="AQ189" s="36"/>
    </row>
    <row r="190" spans="42:43" x14ac:dyDescent="0.25">
      <c r="AP190" s="36"/>
      <c r="AQ190" s="36"/>
    </row>
    <row r="191" spans="42:43" x14ac:dyDescent="0.25">
      <c r="AP191" s="36"/>
      <c r="AQ191" s="36"/>
    </row>
    <row r="192" spans="42:43" x14ac:dyDescent="0.25">
      <c r="AP192" s="36"/>
      <c r="AQ192" s="36"/>
    </row>
    <row r="193" spans="42:43" x14ac:dyDescent="0.25">
      <c r="AP193" s="36"/>
      <c r="AQ193" s="36"/>
    </row>
    <row r="194" spans="42:43" x14ac:dyDescent="0.25">
      <c r="AP194" s="36"/>
      <c r="AQ194" s="36"/>
    </row>
    <row r="195" spans="42:43" x14ac:dyDescent="0.25">
      <c r="AP195" s="36"/>
      <c r="AQ195" s="36"/>
    </row>
    <row r="196" spans="42:43" x14ac:dyDescent="0.25">
      <c r="AP196" s="36"/>
      <c r="AQ196" s="36"/>
    </row>
    <row r="197" spans="42:43" x14ac:dyDescent="0.25">
      <c r="AP197" s="36"/>
      <c r="AQ197" s="36"/>
    </row>
    <row r="198" spans="42:43" x14ac:dyDescent="0.25">
      <c r="AP198" s="36"/>
      <c r="AQ198" s="36"/>
    </row>
    <row r="199" spans="42:43" x14ac:dyDescent="0.25">
      <c r="AP199" s="36"/>
      <c r="AQ199" s="36"/>
    </row>
    <row r="200" spans="42:43" x14ac:dyDescent="0.25">
      <c r="AP200" s="36"/>
      <c r="AQ200" s="36"/>
    </row>
    <row r="201" spans="42:43" x14ac:dyDescent="0.25">
      <c r="AP201" s="36"/>
      <c r="AQ201" s="36"/>
    </row>
    <row r="202" spans="42:43" x14ac:dyDescent="0.25">
      <c r="AP202" s="36"/>
      <c r="AQ202" s="36"/>
    </row>
    <row r="203" spans="42:43" x14ac:dyDescent="0.25">
      <c r="AP203" s="36"/>
      <c r="AQ203" s="36"/>
    </row>
    <row r="204" spans="42:43" x14ac:dyDescent="0.25">
      <c r="AP204" s="36"/>
      <c r="AQ204" s="36"/>
    </row>
    <row r="205" spans="42:43" x14ac:dyDescent="0.25">
      <c r="AP205" s="36"/>
      <c r="AQ205" s="36"/>
    </row>
    <row r="206" spans="42:43" x14ac:dyDescent="0.25">
      <c r="AP206" s="36"/>
      <c r="AQ206" s="36"/>
    </row>
    <row r="207" spans="42:43" x14ac:dyDescent="0.25">
      <c r="AP207" s="36"/>
      <c r="AQ207" s="36"/>
    </row>
    <row r="208" spans="42:43" x14ac:dyDescent="0.25">
      <c r="AP208" s="36"/>
      <c r="AQ208" s="36"/>
    </row>
    <row r="209" spans="42:43" x14ac:dyDescent="0.25">
      <c r="AP209" s="36"/>
      <c r="AQ209" s="36"/>
    </row>
    <row r="210" spans="42:43" x14ac:dyDescent="0.25">
      <c r="AP210" s="36"/>
      <c r="AQ210" s="36"/>
    </row>
    <row r="211" spans="42:43" x14ac:dyDescent="0.25">
      <c r="AP211" s="36"/>
      <c r="AQ211" s="36"/>
    </row>
    <row r="212" spans="42:43" x14ac:dyDescent="0.25">
      <c r="AP212" s="36"/>
      <c r="AQ212" s="36"/>
    </row>
    <row r="213" spans="42:43" x14ac:dyDescent="0.25">
      <c r="AP213" s="36"/>
      <c r="AQ213" s="36"/>
    </row>
    <row r="214" spans="42:43" x14ac:dyDescent="0.25">
      <c r="AP214" s="36"/>
      <c r="AQ214" s="36"/>
    </row>
    <row r="215" spans="42:43" x14ac:dyDescent="0.25">
      <c r="AP215" s="36"/>
      <c r="AQ215" s="36"/>
    </row>
    <row r="216" spans="42:43" x14ac:dyDescent="0.25">
      <c r="AP216" s="36"/>
      <c r="AQ216" s="36"/>
    </row>
    <row r="217" spans="42:43" x14ac:dyDescent="0.25">
      <c r="AP217" s="36"/>
      <c r="AQ217" s="36"/>
    </row>
    <row r="218" spans="42:43" x14ac:dyDescent="0.25">
      <c r="AP218" s="36"/>
      <c r="AQ218" s="36"/>
    </row>
    <row r="219" spans="42:43" x14ac:dyDescent="0.25">
      <c r="AP219" s="36"/>
      <c r="AQ219" s="36"/>
    </row>
    <row r="220" spans="42:43" x14ac:dyDescent="0.25">
      <c r="AP220" s="36"/>
      <c r="AQ220" s="36"/>
    </row>
    <row r="221" spans="42:43" x14ac:dyDescent="0.25">
      <c r="AP221" s="36"/>
      <c r="AQ221" s="36"/>
    </row>
    <row r="222" spans="42:43" x14ac:dyDescent="0.25">
      <c r="AP222" s="36"/>
      <c r="AQ222" s="36"/>
    </row>
    <row r="223" spans="42:43" x14ac:dyDescent="0.25">
      <c r="AP223" s="36"/>
      <c r="AQ223" s="36"/>
    </row>
    <row r="224" spans="42:43" x14ac:dyDescent="0.25">
      <c r="AP224" s="36"/>
      <c r="AQ224" s="36"/>
    </row>
    <row r="225" spans="42:43" x14ac:dyDescent="0.25">
      <c r="AP225" s="36"/>
      <c r="AQ225" s="36"/>
    </row>
    <row r="226" spans="42:43" x14ac:dyDescent="0.25">
      <c r="AP226" s="36"/>
      <c r="AQ226" s="36"/>
    </row>
    <row r="227" spans="42:43" x14ac:dyDescent="0.25">
      <c r="AP227" s="36"/>
      <c r="AQ227" s="36"/>
    </row>
    <row r="228" spans="42:43" x14ac:dyDescent="0.25">
      <c r="AP228" s="36"/>
      <c r="AQ228" s="36"/>
    </row>
    <row r="229" spans="42:43" x14ac:dyDescent="0.25">
      <c r="AP229" s="36"/>
      <c r="AQ229" s="36"/>
    </row>
    <row r="230" spans="42:43" x14ac:dyDescent="0.25">
      <c r="AP230" s="36"/>
      <c r="AQ230" s="36"/>
    </row>
    <row r="231" spans="42:43" x14ac:dyDescent="0.25">
      <c r="AP231" s="36"/>
      <c r="AQ231" s="36"/>
    </row>
    <row r="232" spans="42:43" x14ac:dyDescent="0.25">
      <c r="AP232" s="36"/>
      <c r="AQ232" s="36"/>
    </row>
    <row r="233" spans="42:43" x14ac:dyDescent="0.25">
      <c r="AP233" s="36"/>
      <c r="AQ233" s="36"/>
    </row>
    <row r="234" spans="42:43" x14ac:dyDescent="0.25">
      <c r="AP234" s="36"/>
      <c r="AQ234" s="36"/>
    </row>
    <row r="235" spans="42:43" x14ac:dyDescent="0.25">
      <c r="AP235" s="36"/>
      <c r="AQ235" s="36"/>
    </row>
    <row r="236" spans="42:43" x14ac:dyDescent="0.25">
      <c r="AP236" s="36"/>
      <c r="AQ236" s="36"/>
    </row>
    <row r="237" spans="42:43" x14ac:dyDescent="0.25">
      <c r="AP237" s="36"/>
      <c r="AQ237" s="36"/>
    </row>
    <row r="238" spans="42:43" x14ac:dyDescent="0.25">
      <c r="AP238" s="36"/>
      <c r="AQ238" s="36"/>
    </row>
    <row r="239" spans="42:43" x14ac:dyDescent="0.25">
      <c r="AP239" s="36"/>
      <c r="AQ239" s="36"/>
    </row>
    <row r="240" spans="42:43" x14ac:dyDescent="0.25">
      <c r="AP240" s="36"/>
      <c r="AQ240" s="36"/>
    </row>
    <row r="241" spans="42:43" x14ac:dyDescent="0.25">
      <c r="AP241" s="36"/>
      <c r="AQ241" s="36"/>
    </row>
    <row r="242" spans="42:43" x14ac:dyDescent="0.25">
      <c r="AP242" s="36"/>
      <c r="AQ242" s="36"/>
    </row>
    <row r="243" spans="42:43" x14ac:dyDescent="0.25">
      <c r="AP243" s="36"/>
      <c r="AQ243" s="36"/>
    </row>
    <row r="244" spans="42:43" x14ac:dyDescent="0.25">
      <c r="AP244" s="36"/>
      <c r="AQ244" s="36"/>
    </row>
    <row r="245" spans="42:43" x14ac:dyDescent="0.25">
      <c r="AP245" s="36"/>
      <c r="AQ245" s="36"/>
    </row>
    <row r="246" spans="42:43" x14ac:dyDescent="0.25">
      <c r="AP246" s="36"/>
      <c r="AQ246" s="36"/>
    </row>
    <row r="247" spans="42:43" x14ac:dyDescent="0.25">
      <c r="AP247" s="36"/>
      <c r="AQ247" s="36"/>
    </row>
    <row r="248" spans="42:43" x14ac:dyDescent="0.25">
      <c r="AP248" s="36"/>
      <c r="AQ248" s="36"/>
    </row>
    <row r="249" spans="42:43" x14ac:dyDescent="0.25">
      <c r="AP249" s="36"/>
      <c r="AQ249" s="36"/>
    </row>
    <row r="250" spans="42:43" x14ac:dyDescent="0.25">
      <c r="AP250" s="36"/>
      <c r="AQ250" s="36"/>
    </row>
    <row r="251" spans="42:43" x14ac:dyDescent="0.25">
      <c r="AP251" s="36"/>
      <c r="AQ251" s="36"/>
    </row>
    <row r="252" spans="42:43" x14ac:dyDescent="0.25">
      <c r="AP252" s="36"/>
      <c r="AQ252" s="36"/>
    </row>
    <row r="253" spans="42:43" x14ac:dyDescent="0.25">
      <c r="AP253" s="36"/>
      <c r="AQ253" s="36"/>
    </row>
    <row r="254" spans="42:43" x14ac:dyDescent="0.25">
      <c r="AP254" s="36"/>
      <c r="AQ254" s="36"/>
    </row>
    <row r="255" spans="42:43" x14ac:dyDescent="0.25">
      <c r="AP255" s="36"/>
      <c r="AQ255" s="36"/>
    </row>
    <row r="256" spans="42:43" x14ac:dyDescent="0.25">
      <c r="AP256" s="36"/>
      <c r="AQ256" s="36"/>
    </row>
    <row r="257" spans="42:43" x14ac:dyDescent="0.25">
      <c r="AP257" s="36"/>
      <c r="AQ257" s="36"/>
    </row>
    <row r="258" spans="42:43" x14ac:dyDescent="0.25">
      <c r="AP258" s="36"/>
      <c r="AQ258" s="36"/>
    </row>
    <row r="259" spans="42:43" x14ac:dyDescent="0.25">
      <c r="AP259" s="36"/>
      <c r="AQ259" s="36"/>
    </row>
    <row r="260" spans="42:43" x14ac:dyDescent="0.25">
      <c r="AP260" s="36"/>
      <c r="AQ260" s="36"/>
    </row>
    <row r="261" spans="42:43" x14ac:dyDescent="0.25">
      <c r="AP261" s="36"/>
      <c r="AQ261" s="36"/>
    </row>
    <row r="262" spans="42:43" x14ac:dyDescent="0.25">
      <c r="AP262" s="36"/>
      <c r="AQ262" s="36"/>
    </row>
    <row r="263" spans="42:43" x14ac:dyDescent="0.25">
      <c r="AP263" s="36"/>
      <c r="AQ263" s="36"/>
    </row>
    <row r="264" spans="42:43" x14ac:dyDescent="0.25">
      <c r="AP264" s="36"/>
      <c r="AQ264" s="36"/>
    </row>
    <row r="265" spans="42:43" x14ac:dyDescent="0.25">
      <c r="AP265" s="36"/>
      <c r="AQ265" s="36"/>
    </row>
    <row r="266" spans="42:43" x14ac:dyDescent="0.25">
      <c r="AP266" s="36"/>
      <c r="AQ266" s="36"/>
    </row>
    <row r="267" spans="42:43" x14ac:dyDescent="0.25">
      <c r="AP267" s="36"/>
      <c r="AQ267" s="36"/>
    </row>
    <row r="268" spans="42:43" x14ac:dyDescent="0.25">
      <c r="AP268" s="36"/>
      <c r="AQ268" s="36"/>
    </row>
    <row r="269" spans="42:43" x14ac:dyDescent="0.25">
      <c r="AP269" s="36"/>
      <c r="AQ269" s="36"/>
    </row>
    <row r="270" spans="42:43" x14ac:dyDescent="0.25">
      <c r="AP270" s="36"/>
      <c r="AQ270" s="36"/>
    </row>
    <row r="271" spans="42:43" x14ac:dyDescent="0.25">
      <c r="AP271" s="36"/>
      <c r="AQ271" s="36"/>
    </row>
    <row r="272" spans="42:43" x14ac:dyDescent="0.25">
      <c r="AP272" s="36"/>
      <c r="AQ272" s="36"/>
    </row>
    <row r="273" spans="42:43" x14ac:dyDescent="0.25">
      <c r="AP273" s="36"/>
      <c r="AQ273" s="36"/>
    </row>
    <row r="274" spans="42:43" x14ac:dyDescent="0.25">
      <c r="AP274" s="36"/>
      <c r="AQ274" s="36"/>
    </row>
    <row r="275" spans="42:43" x14ac:dyDescent="0.25">
      <c r="AP275" s="36"/>
      <c r="AQ275" s="36"/>
    </row>
    <row r="276" spans="42:43" x14ac:dyDescent="0.25">
      <c r="AP276" s="36"/>
      <c r="AQ276" s="36"/>
    </row>
    <row r="277" spans="42:43" x14ac:dyDescent="0.25">
      <c r="AP277" s="36"/>
      <c r="AQ277" s="36"/>
    </row>
    <row r="278" spans="42:43" x14ac:dyDescent="0.25">
      <c r="AP278" s="36"/>
      <c r="AQ278" s="36"/>
    </row>
    <row r="279" spans="42:43" x14ac:dyDescent="0.25">
      <c r="AP279" s="36"/>
      <c r="AQ279" s="36"/>
    </row>
    <row r="280" spans="42:43" x14ac:dyDescent="0.25">
      <c r="AP280" s="36"/>
      <c r="AQ280" s="36"/>
    </row>
    <row r="281" spans="42:43" x14ac:dyDescent="0.25">
      <c r="AP281" s="36"/>
      <c r="AQ281" s="36"/>
    </row>
    <row r="282" spans="42:43" x14ac:dyDescent="0.25">
      <c r="AP282" s="36"/>
      <c r="AQ282" s="36"/>
    </row>
    <row r="283" spans="42:43" x14ac:dyDescent="0.25">
      <c r="AP283" s="36"/>
      <c r="AQ283" s="36"/>
    </row>
    <row r="284" spans="42:43" x14ac:dyDescent="0.25">
      <c r="AP284" s="36"/>
      <c r="AQ284" s="36"/>
    </row>
    <row r="285" spans="42:43" x14ac:dyDescent="0.25">
      <c r="AP285" s="36"/>
      <c r="AQ285" s="36"/>
    </row>
    <row r="286" spans="42:43" x14ac:dyDescent="0.25">
      <c r="AP286" s="36"/>
      <c r="AQ286" s="36"/>
    </row>
    <row r="287" spans="42:43" x14ac:dyDescent="0.25">
      <c r="AP287" s="36"/>
      <c r="AQ287" s="36"/>
    </row>
    <row r="288" spans="42:43" x14ac:dyDescent="0.25">
      <c r="AP288" s="36"/>
      <c r="AQ288" s="36"/>
    </row>
    <row r="289" spans="42:43" x14ac:dyDescent="0.25">
      <c r="AP289" s="36"/>
      <c r="AQ289" s="36"/>
    </row>
    <row r="290" spans="42:43" x14ac:dyDescent="0.25">
      <c r="AP290" s="36"/>
      <c r="AQ290" s="36"/>
    </row>
    <row r="291" spans="42:43" x14ac:dyDescent="0.25">
      <c r="AP291" s="36"/>
      <c r="AQ291" s="36"/>
    </row>
    <row r="292" spans="42:43" x14ac:dyDescent="0.25">
      <c r="AP292" s="36"/>
      <c r="AQ292" s="36"/>
    </row>
    <row r="293" spans="42:43" x14ac:dyDescent="0.25">
      <c r="AP293" s="36"/>
      <c r="AQ293" s="36"/>
    </row>
    <row r="294" spans="42:43" x14ac:dyDescent="0.25">
      <c r="AP294" s="36"/>
      <c r="AQ294" s="36"/>
    </row>
    <row r="295" spans="42:43" x14ac:dyDescent="0.25">
      <c r="AP295" s="36"/>
      <c r="AQ295" s="36"/>
    </row>
    <row r="296" spans="42:43" x14ac:dyDescent="0.25">
      <c r="AP296" s="36"/>
      <c r="AQ296" s="36"/>
    </row>
    <row r="297" spans="42:43" x14ac:dyDescent="0.25">
      <c r="AP297" s="36"/>
      <c r="AQ297" s="36"/>
    </row>
    <row r="298" spans="42:43" x14ac:dyDescent="0.25">
      <c r="AP298" s="36"/>
      <c r="AQ298" s="36"/>
    </row>
    <row r="299" spans="42:43" x14ac:dyDescent="0.25">
      <c r="AP299" s="36"/>
      <c r="AQ299" s="36"/>
    </row>
    <row r="300" spans="42:43" x14ac:dyDescent="0.25">
      <c r="AP300" s="36"/>
      <c r="AQ300" s="36"/>
    </row>
    <row r="301" spans="42:43" x14ac:dyDescent="0.25">
      <c r="AP301" s="36"/>
      <c r="AQ301" s="36"/>
    </row>
    <row r="302" spans="42:43" x14ac:dyDescent="0.25">
      <c r="AP302" s="36"/>
      <c r="AQ302" s="36"/>
    </row>
    <row r="303" spans="42:43" x14ac:dyDescent="0.25">
      <c r="AP303" s="36"/>
      <c r="AQ303" s="36"/>
    </row>
    <row r="304" spans="42:43" x14ac:dyDescent="0.25">
      <c r="AP304" s="36"/>
      <c r="AQ304" s="36"/>
    </row>
    <row r="305" spans="42:43" x14ac:dyDescent="0.25">
      <c r="AP305" s="36"/>
      <c r="AQ305" s="36"/>
    </row>
    <row r="306" spans="42:43" x14ac:dyDescent="0.25">
      <c r="AP306" s="36"/>
      <c r="AQ306" s="36"/>
    </row>
    <row r="307" spans="42:43" x14ac:dyDescent="0.25">
      <c r="AP307" s="36"/>
      <c r="AQ307" s="36"/>
    </row>
    <row r="308" spans="42:43" x14ac:dyDescent="0.25">
      <c r="AP308" s="36"/>
      <c r="AQ308" s="36"/>
    </row>
    <row r="309" spans="42:43" x14ac:dyDescent="0.25">
      <c r="AP309" s="36"/>
      <c r="AQ309" s="36"/>
    </row>
    <row r="310" spans="42:43" x14ac:dyDescent="0.25">
      <c r="AP310" s="36"/>
      <c r="AQ310" s="36"/>
    </row>
    <row r="311" spans="42:43" x14ac:dyDescent="0.25">
      <c r="AP311" s="36"/>
      <c r="AQ311" s="36"/>
    </row>
    <row r="312" spans="42:43" x14ac:dyDescent="0.25">
      <c r="AP312" s="36"/>
      <c r="AQ312" s="36"/>
    </row>
    <row r="313" spans="42:43" x14ac:dyDescent="0.25">
      <c r="AP313" s="36"/>
      <c r="AQ313" s="36"/>
    </row>
    <row r="314" spans="42:43" x14ac:dyDescent="0.25">
      <c r="AP314" s="36"/>
      <c r="AQ314" s="36"/>
    </row>
    <row r="315" spans="42:43" x14ac:dyDescent="0.25">
      <c r="AP315" s="36"/>
      <c r="AQ315" s="36"/>
    </row>
    <row r="316" spans="42:43" x14ac:dyDescent="0.25">
      <c r="AP316" s="36"/>
      <c r="AQ316" s="36"/>
    </row>
    <row r="317" spans="42:43" x14ac:dyDescent="0.25">
      <c r="AP317" s="36"/>
      <c r="AQ317" s="36"/>
    </row>
    <row r="318" spans="42:43" x14ac:dyDescent="0.25">
      <c r="AP318" s="36"/>
      <c r="AQ318" s="36"/>
    </row>
    <row r="319" spans="42:43" x14ac:dyDescent="0.25">
      <c r="AP319" s="36"/>
      <c r="AQ319" s="36"/>
    </row>
    <row r="320" spans="42:43" x14ac:dyDescent="0.25">
      <c r="AP320" s="36"/>
      <c r="AQ320" s="36"/>
    </row>
    <row r="321" spans="42:43" x14ac:dyDescent="0.25">
      <c r="AP321" s="36"/>
      <c r="AQ321" s="36"/>
    </row>
    <row r="322" spans="42:43" x14ac:dyDescent="0.25">
      <c r="AP322" s="36"/>
      <c r="AQ322" s="36"/>
    </row>
    <row r="323" spans="42:43" x14ac:dyDescent="0.25">
      <c r="AP323" s="36"/>
      <c r="AQ323" s="36"/>
    </row>
    <row r="324" spans="42:43" x14ac:dyDescent="0.25">
      <c r="AP324" s="36"/>
      <c r="AQ324" s="36"/>
    </row>
    <row r="325" spans="42:43" x14ac:dyDescent="0.25">
      <c r="AP325" s="36"/>
      <c r="AQ325" s="36"/>
    </row>
    <row r="326" spans="42:43" x14ac:dyDescent="0.25">
      <c r="AP326" s="36"/>
      <c r="AQ326" s="36"/>
    </row>
    <row r="327" spans="42:43" x14ac:dyDescent="0.25">
      <c r="AP327" s="36"/>
      <c r="AQ327" s="36"/>
    </row>
    <row r="328" spans="42:43" x14ac:dyDescent="0.25">
      <c r="AP328" s="36"/>
      <c r="AQ328" s="36"/>
    </row>
    <row r="329" spans="42:43" x14ac:dyDescent="0.25">
      <c r="AP329" s="36"/>
      <c r="AQ329" s="36"/>
    </row>
    <row r="330" spans="42:43" x14ac:dyDescent="0.25">
      <c r="AP330" s="36"/>
      <c r="AQ330" s="36"/>
    </row>
    <row r="331" spans="42:43" x14ac:dyDescent="0.25">
      <c r="AP331" s="36"/>
      <c r="AQ331" s="36"/>
    </row>
    <row r="332" spans="42:43" x14ac:dyDescent="0.25">
      <c r="AP332" s="36"/>
      <c r="AQ332" s="36"/>
    </row>
    <row r="333" spans="42:43" x14ac:dyDescent="0.25">
      <c r="AP333" s="36"/>
      <c r="AQ333" s="36"/>
    </row>
    <row r="334" spans="42:43" x14ac:dyDescent="0.25">
      <c r="AP334" s="36"/>
      <c r="AQ334" s="36"/>
    </row>
    <row r="335" spans="42:43" x14ac:dyDescent="0.25">
      <c r="AP335" s="36"/>
      <c r="AQ335" s="36"/>
    </row>
    <row r="336" spans="42:43" x14ac:dyDescent="0.25">
      <c r="AP336" s="36"/>
      <c r="AQ336" s="36"/>
    </row>
    <row r="337" spans="42:43" x14ac:dyDescent="0.25">
      <c r="AP337" s="36"/>
      <c r="AQ337" s="36"/>
    </row>
    <row r="338" spans="42:43" x14ac:dyDescent="0.25">
      <c r="AP338" s="36"/>
      <c r="AQ338" s="36"/>
    </row>
    <row r="339" spans="42:43" x14ac:dyDescent="0.25">
      <c r="AP339" s="36"/>
      <c r="AQ339" s="36"/>
    </row>
    <row r="340" spans="42:43" x14ac:dyDescent="0.25">
      <c r="AP340" s="36"/>
      <c r="AQ340" s="36"/>
    </row>
    <row r="341" spans="42:43" x14ac:dyDescent="0.25">
      <c r="AP341" s="36"/>
      <c r="AQ341" s="36"/>
    </row>
    <row r="342" spans="42:43" x14ac:dyDescent="0.25">
      <c r="AP342" s="36"/>
      <c r="AQ342" s="36"/>
    </row>
    <row r="343" spans="42:43" x14ac:dyDescent="0.25">
      <c r="AP343" s="36"/>
      <c r="AQ343" s="36"/>
    </row>
    <row r="344" spans="42:43" x14ac:dyDescent="0.25">
      <c r="AP344" s="36"/>
      <c r="AQ344" s="36"/>
    </row>
    <row r="345" spans="42:43" x14ac:dyDescent="0.25">
      <c r="AP345" s="36"/>
      <c r="AQ345" s="36"/>
    </row>
    <row r="346" spans="42:43" x14ac:dyDescent="0.25">
      <c r="AP346" s="36"/>
      <c r="AQ346" s="36"/>
    </row>
    <row r="347" spans="42:43" x14ac:dyDescent="0.25">
      <c r="AP347" s="36"/>
      <c r="AQ347" s="36"/>
    </row>
    <row r="348" spans="42:43" x14ac:dyDescent="0.25">
      <c r="AP348" s="36"/>
      <c r="AQ348" s="36"/>
    </row>
    <row r="349" spans="42:43" x14ac:dyDescent="0.25">
      <c r="AP349" s="36"/>
      <c r="AQ349" s="36"/>
    </row>
    <row r="350" spans="42:43" x14ac:dyDescent="0.25">
      <c r="AP350" s="36"/>
      <c r="AQ350" s="36"/>
    </row>
    <row r="351" spans="42:43" x14ac:dyDescent="0.25">
      <c r="AP351" s="36"/>
      <c r="AQ351" s="36"/>
    </row>
    <row r="352" spans="42:43" x14ac:dyDescent="0.25">
      <c r="AP352" s="36"/>
      <c r="AQ352" s="36"/>
    </row>
    <row r="353" spans="42:43" x14ac:dyDescent="0.25">
      <c r="AP353" s="36"/>
      <c r="AQ353" s="36"/>
    </row>
    <row r="354" spans="42:43" x14ac:dyDescent="0.25">
      <c r="AP354" s="36"/>
      <c r="AQ354" s="36"/>
    </row>
    <row r="355" spans="42:43" x14ac:dyDescent="0.25">
      <c r="AP355" s="36"/>
      <c r="AQ355" s="36"/>
    </row>
    <row r="356" spans="42:43" x14ac:dyDescent="0.25">
      <c r="AP356" s="36"/>
      <c r="AQ356" s="36"/>
    </row>
    <row r="357" spans="42:43" x14ac:dyDescent="0.25">
      <c r="AP357" s="36"/>
      <c r="AQ357" s="36"/>
    </row>
    <row r="358" spans="42:43" x14ac:dyDescent="0.25">
      <c r="AP358" s="36"/>
      <c r="AQ358" s="36"/>
    </row>
    <row r="359" spans="42:43" x14ac:dyDescent="0.25">
      <c r="AP359" s="36"/>
      <c r="AQ359" s="36"/>
    </row>
    <row r="360" spans="42:43" x14ac:dyDescent="0.25">
      <c r="AP360" s="36"/>
      <c r="AQ360" s="36"/>
    </row>
    <row r="361" spans="42:43" x14ac:dyDescent="0.25">
      <c r="AP361" s="36"/>
      <c r="AQ361" s="36"/>
    </row>
    <row r="362" spans="42:43" x14ac:dyDescent="0.25">
      <c r="AP362" s="36"/>
      <c r="AQ362" s="36"/>
    </row>
    <row r="363" spans="42:43" x14ac:dyDescent="0.25">
      <c r="AP363" s="36"/>
      <c r="AQ363" s="36"/>
    </row>
    <row r="364" spans="42:43" x14ac:dyDescent="0.25">
      <c r="AP364" s="36"/>
      <c r="AQ364" s="36"/>
    </row>
  </sheetData>
  <sheetProtection password="B321" sheet="1" objects="1" scenarios="1" selectLockedCells="1"/>
  <mergeCells count="578">
    <mergeCell ref="AA57:AA58"/>
    <mergeCell ref="AB57:AB58"/>
    <mergeCell ref="AI53:AI54"/>
    <mergeCell ref="AJ53:AJ54"/>
    <mergeCell ref="AJ51:AJ52"/>
    <mergeCell ref="AD51:AD52"/>
    <mergeCell ref="AE51:AE52"/>
    <mergeCell ref="AF51:AF52"/>
    <mergeCell ref="B2:T2"/>
    <mergeCell ref="D11:X12"/>
    <mergeCell ref="D10:X10"/>
    <mergeCell ref="D9:X9"/>
    <mergeCell ref="D8:X8"/>
    <mergeCell ref="D7:X7"/>
    <mergeCell ref="D6:X6"/>
    <mergeCell ref="D5:X5"/>
    <mergeCell ref="D4:X4"/>
    <mergeCell ref="W3:AC3"/>
    <mergeCell ref="B4:C4"/>
    <mergeCell ref="W2:AC2"/>
    <mergeCell ref="N57:N58"/>
    <mergeCell ref="O57:O58"/>
    <mergeCell ref="P57:P58"/>
    <mergeCell ref="R57:R58"/>
    <mergeCell ref="AJ59:AJ60"/>
    <mergeCell ref="AD59:AD60"/>
    <mergeCell ref="AE59:AE60"/>
    <mergeCell ref="AF59:AF60"/>
    <mergeCell ref="AG59:AG60"/>
    <mergeCell ref="AH59:AH60"/>
    <mergeCell ref="AI59:AI60"/>
    <mergeCell ref="X59:X60"/>
    <mergeCell ref="Y59:Y60"/>
    <mergeCell ref="Z59:Z60"/>
    <mergeCell ref="AA59:AA60"/>
    <mergeCell ref="AB59:AB60"/>
    <mergeCell ref="AC59:AC60"/>
    <mergeCell ref="O59:O60"/>
    <mergeCell ref="P59:P60"/>
    <mergeCell ref="R59:R60"/>
    <mergeCell ref="S59:S60"/>
    <mergeCell ref="T59:T60"/>
    <mergeCell ref="W59:W60"/>
    <mergeCell ref="AI57:AI58"/>
    <mergeCell ref="AJ57:AJ58"/>
    <mergeCell ref="B59:B60"/>
    <mergeCell ref="C59:C60"/>
    <mergeCell ref="D59:D60"/>
    <mergeCell ref="E59:E60"/>
    <mergeCell ref="G59:G60"/>
    <mergeCell ref="H59:H60"/>
    <mergeCell ref="I59:I60"/>
    <mergeCell ref="N59:N60"/>
    <mergeCell ref="AC57:AC58"/>
    <mergeCell ref="AD57:AD58"/>
    <mergeCell ref="AE57:AE58"/>
    <mergeCell ref="AF57:AF58"/>
    <mergeCell ref="AG57:AG58"/>
    <mergeCell ref="AH57:AH58"/>
    <mergeCell ref="W57:W58"/>
    <mergeCell ref="X57:X58"/>
    <mergeCell ref="AI55:AI56"/>
    <mergeCell ref="AJ55:AJ56"/>
    <mergeCell ref="AD55:AD56"/>
    <mergeCell ref="AE55:AE56"/>
    <mergeCell ref="AF55:AF56"/>
    <mergeCell ref="AG55:AG56"/>
    <mergeCell ref="AB55:AB56"/>
    <mergeCell ref="AC55:AC56"/>
    <mergeCell ref="T55:T56"/>
    <mergeCell ref="W55:W56"/>
    <mergeCell ref="X55:X56"/>
    <mergeCell ref="Y55:Y56"/>
    <mergeCell ref="Z55:Z56"/>
    <mergeCell ref="AA55:AA56"/>
    <mergeCell ref="AH55:AH56"/>
    <mergeCell ref="N55:N56"/>
    <mergeCell ref="O55:O56"/>
    <mergeCell ref="Y57:Y58"/>
    <mergeCell ref="Z57:Z58"/>
    <mergeCell ref="P53:P54"/>
    <mergeCell ref="R53:R54"/>
    <mergeCell ref="S53:S54"/>
    <mergeCell ref="T53:T54"/>
    <mergeCell ref="W53:W54"/>
    <mergeCell ref="X53:X54"/>
    <mergeCell ref="P55:P56"/>
    <mergeCell ref="R55:R56"/>
    <mergeCell ref="S55:S56"/>
    <mergeCell ref="S57:S58"/>
    <mergeCell ref="T57:T58"/>
    <mergeCell ref="AH53:AH54"/>
    <mergeCell ref="Y53:Y54"/>
    <mergeCell ref="Z53:Z54"/>
    <mergeCell ref="AA53:AA54"/>
    <mergeCell ref="AB53:AB54"/>
    <mergeCell ref="AC53:AC54"/>
    <mergeCell ref="AD53:AD54"/>
    <mergeCell ref="AE53:AE54"/>
    <mergeCell ref="AF53:AF54"/>
    <mergeCell ref="AG53:AG54"/>
    <mergeCell ref="B57:B58"/>
    <mergeCell ref="C57:C58"/>
    <mergeCell ref="D57:D58"/>
    <mergeCell ref="E57:E58"/>
    <mergeCell ref="G57:G58"/>
    <mergeCell ref="H57:H58"/>
    <mergeCell ref="I57:I58"/>
    <mergeCell ref="B55:B56"/>
    <mergeCell ref="C55:C56"/>
    <mergeCell ref="D55:D56"/>
    <mergeCell ref="E55:E56"/>
    <mergeCell ref="G55:G56"/>
    <mergeCell ref="H55:H56"/>
    <mergeCell ref="I55:I56"/>
    <mergeCell ref="B53:B54"/>
    <mergeCell ref="C53:C54"/>
    <mergeCell ref="D53:D54"/>
    <mergeCell ref="E53:E54"/>
    <mergeCell ref="G53:G54"/>
    <mergeCell ref="H53:H54"/>
    <mergeCell ref="I53:I54"/>
    <mergeCell ref="N53:N54"/>
    <mergeCell ref="O53:O54"/>
    <mergeCell ref="AG51:AG52"/>
    <mergeCell ref="AH51:AH52"/>
    <mergeCell ref="AI51:AI52"/>
    <mergeCell ref="X51:X52"/>
    <mergeCell ref="Y51:Y52"/>
    <mergeCell ref="Z51:Z52"/>
    <mergeCell ref="AA51:AA52"/>
    <mergeCell ref="AB51:AB52"/>
    <mergeCell ref="AC51:AC52"/>
    <mergeCell ref="O51:O52"/>
    <mergeCell ref="P51:P52"/>
    <mergeCell ref="R51:R52"/>
    <mergeCell ref="S51:S52"/>
    <mergeCell ref="T51:T52"/>
    <mergeCell ref="W51:W52"/>
    <mergeCell ref="AI49:AI50"/>
    <mergeCell ref="AJ49:AJ50"/>
    <mergeCell ref="B51:B52"/>
    <mergeCell ref="C51:C52"/>
    <mergeCell ref="D51:D52"/>
    <mergeCell ref="E51:E52"/>
    <mergeCell ref="G51:G52"/>
    <mergeCell ref="H51:H52"/>
    <mergeCell ref="I51:I52"/>
    <mergeCell ref="N51:N52"/>
    <mergeCell ref="AC49:AC50"/>
    <mergeCell ref="AD49:AD50"/>
    <mergeCell ref="AE49:AE50"/>
    <mergeCell ref="AF49:AF50"/>
    <mergeCell ref="AG49:AG50"/>
    <mergeCell ref="AH49:AH50"/>
    <mergeCell ref="W49:W50"/>
    <mergeCell ref="X49:X50"/>
    <mergeCell ref="Y49:Y50"/>
    <mergeCell ref="Z49:Z50"/>
    <mergeCell ref="AA49:AA50"/>
    <mergeCell ref="AB49:AB50"/>
    <mergeCell ref="N49:N50"/>
    <mergeCell ref="O49:O50"/>
    <mergeCell ref="P49:P50"/>
    <mergeCell ref="R49:R50"/>
    <mergeCell ref="S49:S50"/>
    <mergeCell ref="T49:T50"/>
    <mergeCell ref="AH47:AH48"/>
    <mergeCell ref="P47:P48"/>
    <mergeCell ref="R47:R48"/>
    <mergeCell ref="S47:S48"/>
    <mergeCell ref="AI47:AI48"/>
    <mergeCell ref="AJ47:AJ48"/>
    <mergeCell ref="B49:B50"/>
    <mergeCell ref="C49:C50"/>
    <mergeCell ref="D49:D50"/>
    <mergeCell ref="E49:E50"/>
    <mergeCell ref="G49:G50"/>
    <mergeCell ref="H49:H50"/>
    <mergeCell ref="I49:I50"/>
    <mergeCell ref="AB47:AB48"/>
    <mergeCell ref="AC47:AC48"/>
    <mergeCell ref="AD47:AD48"/>
    <mergeCell ref="AE47:AE48"/>
    <mergeCell ref="AF47:AF48"/>
    <mergeCell ref="AG47:AG48"/>
    <mergeCell ref="T47:T48"/>
    <mergeCell ref="W47:W48"/>
    <mergeCell ref="X47:X48"/>
    <mergeCell ref="Y47:Y48"/>
    <mergeCell ref="Z47:Z48"/>
    <mergeCell ref="AA47:AA48"/>
    <mergeCell ref="I47:I48"/>
    <mergeCell ref="N47:N48"/>
    <mergeCell ref="O47:O48"/>
    <mergeCell ref="B47:B48"/>
    <mergeCell ref="C47:C48"/>
    <mergeCell ref="D47:D48"/>
    <mergeCell ref="E47:E48"/>
    <mergeCell ref="G47:G48"/>
    <mergeCell ref="H47:H48"/>
    <mergeCell ref="B45:B46"/>
    <mergeCell ref="C45:C46"/>
    <mergeCell ref="D45:D46"/>
    <mergeCell ref="E45:E46"/>
    <mergeCell ref="G45:G46"/>
    <mergeCell ref="H45:H46"/>
    <mergeCell ref="I45:I46"/>
    <mergeCell ref="N45:N46"/>
    <mergeCell ref="O43:O44"/>
    <mergeCell ref="O45:O46"/>
    <mergeCell ref="P43:P44"/>
    <mergeCell ref="AH45:AH46"/>
    <mergeCell ref="AI45:AI46"/>
    <mergeCell ref="AJ45:AJ46"/>
    <mergeCell ref="Y45:Y46"/>
    <mergeCell ref="Z45:Z46"/>
    <mergeCell ref="AA45:AA46"/>
    <mergeCell ref="AB45:AB46"/>
    <mergeCell ref="AC45:AC46"/>
    <mergeCell ref="AD45:AD46"/>
    <mergeCell ref="R43:R44"/>
    <mergeCell ref="S43:S44"/>
    <mergeCell ref="T43:T44"/>
    <mergeCell ref="W43:W44"/>
    <mergeCell ref="AE45:AE46"/>
    <mergeCell ref="AF45:AF46"/>
    <mergeCell ref="AG45:AG46"/>
    <mergeCell ref="P45:P46"/>
    <mergeCell ref="R45:R46"/>
    <mergeCell ref="S45:S46"/>
    <mergeCell ref="T45:T46"/>
    <mergeCell ref="W45:W46"/>
    <mergeCell ref="X45:X46"/>
    <mergeCell ref="AJ41:AJ42"/>
    <mergeCell ref="B43:B44"/>
    <mergeCell ref="C43:C44"/>
    <mergeCell ref="D43:D44"/>
    <mergeCell ref="E43:E44"/>
    <mergeCell ref="G43:G44"/>
    <mergeCell ref="H43:H44"/>
    <mergeCell ref="I43:I44"/>
    <mergeCell ref="N43:N44"/>
    <mergeCell ref="AC41:AC42"/>
    <mergeCell ref="AD41:AD42"/>
    <mergeCell ref="AE41:AE42"/>
    <mergeCell ref="AF41:AF42"/>
    <mergeCell ref="AG41:AG42"/>
    <mergeCell ref="AH41:AH42"/>
    <mergeCell ref="W41:W42"/>
    <mergeCell ref="X41:X42"/>
    <mergeCell ref="Y41:Y42"/>
    <mergeCell ref="Z41:Z42"/>
    <mergeCell ref="AJ43:AJ44"/>
    <mergeCell ref="AD43:AD44"/>
    <mergeCell ref="AE43:AE44"/>
    <mergeCell ref="AF43:AF44"/>
    <mergeCell ref="AG43:AG44"/>
    <mergeCell ref="AI41:AI42"/>
    <mergeCell ref="AH43:AH44"/>
    <mergeCell ref="AI43:AI44"/>
    <mergeCell ref="X43:X44"/>
    <mergeCell ref="Y43:Y44"/>
    <mergeCell ref="Z43:Z44"/>
    <mergeCell ref="AA43:AA44"/>
    <mergeCell ref="AB43:AB44"/>
    <mergeCell ref="AC43:AC44"/>
    <mergeCell ref="AB41:AB42"/>
    <mergeCell ref="B41:B42"/>
    <mergeCell ref="C41:C42"/>
    <mergeCell ref="D41:D42"/>
    <mergeCell ref="E41:E42"/>
    <mergeCell ref="G41:G42"/>
    <mergeCell ref="H41:H42"/>
    <mergeCell ref="I41:I42"/>
    <mergeCell ref="AH39:AH40"/>
    <mergeCell ref="P39:P40"/>
    <mergeCell ref="R39:R40"/>
    <mergeCell ref="S39:S40"/>
    <mergeCell ref="AE39:AE40"/>
    <mergeCell ref="AF39:AF40"/>
    <mergeCell ref="AG39:AG40"/>
    <mergeCell ref="T39:T40"/>
    <mergeCell ref="W39:W40"/>
    <mergeCell ref="X39:X40"/>
    <mergeCell ref="Y39:Y40"/>
    <mergeCell ref="AB39:AB40"/>
    <mergeCell ref="AC39:AC40"/>
    <mergeCell ref="I39:I40"/>
    <mergeCell ref="N39:N40"/>
    <mergeCell ref="O39:O40"/>
    <mergeCell ref="AA41:AA42"/>
    <mergeCell ref="N41:N42"/>
    <mergeCell ref="O41:O42"/>
    <mergeCell ref="P41:P42"/>
    <mergeCell ref="R41:R42"/>
    <mergeCell ref="S41:S42"/>
    <mergeCell ref="T41:T42"/>
    <mergeCell ref="Z39:Z40"/>
    <mergeCell ref="AA39:AA40"/>
    <mergeCell ref="AR38:BH38"/>
    <mergeCell ref="AE37:AE38"/>
    <mergeCell ref="AF37:AF38"/>
    <mergeCell ref="AG37:AG38"/>
    <mergeCell ref="AI39:AI40"/>
    <mergeCell ref="AJ39:AJ40"/>
    <mergeCell ref="AH37:AH38"/>
    <mergeCell ref="AI37:AI38"/>
    <mergeCell ref="AJ37:AJ38"/>
    <mergeCell ref="BH34:BH37"/>
    <mergeCell ref="BB34:BB37"/>
    <mergeCell ref="BC34:BC37"/>
    <mergeCell ref="BD34:BD37"/>
    <mergeCell ref="BE34:BE37"/>
    <mergeCell ref="BF34:BF37"/>
    <mergeCell ref="BG34:BG37"/>
    <mergeCell ref="B39:B40"/>
    <mergeCell ref="C39:C40"/>
    <mergeCell ref="D39:D40"/>
    <mergeCell ref="E39:E40"/>
    <mergeCell ref="G39:G40"/>
    <mergeCell ref="H39:H40"/>
    <mergeCell ref="AB37:AB38"/>
    <mergeCell ref="AC37:AC38"/>
    <mergeCell ref="AD37:AD38"/>
    <mergeCell ref="T37:T38"/>
    <mergeCell ref="W37:W38"/>
    <mergeCell ref="X37:X38"/>
    <mergeCell ref="Y37:Y38"/>
    <mergeCell ref="Z37:Z38"/>
    <mergeCell ref="AA37:AA38"/>
    <mergeCell ref="I37:I38"/>
    <mergeCell ref="N37:N38"/>
    <mergeCell ref="AD39:AD40"/>
    <mergeCell ref="B37:B38"/>
    <mergeCell ref="C37:C38"/>
    <mergeCell ref="D37:D38"/>
    <mergeCell ref="E37:E38"/>
    <mergeCell ref="G37:G38"/>
    <mergeCell ref="H37:H38"/>
    <mergeCell ref="Y35:Y36"/>
    <mergeCell ref="Z35:Z36"/>
    <mergeCell ref="AA35:AA36"/>
    <mergeCell ref="AB35:AB36"/>
    <mergeCell ref="AC35:AC36"/>
    <mergeCell ref="AD35:AD36"/>
    <mergeCell ref="O37:O38"/>
    <mergeCell ref="P37:P38"/>
    <mergeCell ref="R37:R38"/>
    <mergeCell ref="S37:S38"/>
    <mergeCell ref="P35:P36"/>
    <mergeCell ref="R35:R36"/>
    <mergeCell ref="S35:S36"/>
    <mergeCell ref="T35:T36"/>
    <mergeCell ref="W35:W36"/>
    <mergeCell ref="X35:X36"/>
    <mergeCell ref="B35:B36"/>
    <mergeCell ref="C35:C36"/>
    <mergeCell ref="D35:D36"/>
    <mergeCell ref="E35:E36"/>
    <mergeCell ref="G35:G36"/>
    <mergeCell ref="H35:H36"/>
    <mergeCell ref="I35:I36"/>
    <mergeCell ref="N35:N36"/>
    <mergeCell ref="O35:O36"/>
    <mergeCell ref="AV34:AV37"/>
    <mergeCell ref="AW34:AW37"/>
    <mergeCell ref="AB33:AB34"/>
    <mergeCell ref="AX34:AX37"/>
    <mergeCell ref="AY34:AY37"/>
    <mergeCell ref="AZ34:AZ37"/>
    <mergeCell ref="BA34:BA37"/>
    <mergeCell ref="AI33:AI34"/>
    <mergeCell ref="AJ33:AJ34"/>
    <mergeCell ref="AR34:AR37"/>
    <mergeCell ref="AS34:AS37"/>
    <mergeCell ref="AT34:AT37"/>
    <mergeCell ref="AU34:AU37"/>
    <mergeCell ref="AE35:AE36"/>
    <mergeCell ref="AF35:AF36"/>
    <mergeCell ref="AG35:AG36"/>
    <mergeCell ref="AH35:AH36"/>
    <mergeCell ref="AI35:AI36"/>
    <mergeCell ref="AJ35:AJ36"/>
    <mergeCell ref="N33:N34"/>
    <mergeCell ref="O33:O34"/>
    <mergeCell ref="P33:P34"/>
    <mergeCell ref="R33:R34"/>
    <mergeCell ref="S33:S34"/>
    <mergeCell ref="T33:T34"/>
    <mergeCell ref="AH31:AH32"/>
    <mergeCell ref="AI31:AI32"/>
    <mergeCell ref="AJ31:AJ32"/>
    <mergeCell ref="AD31:AD32"/>
    <mergeCell ref="AE31:AE32"/>
    <mergeCell ref="AF31:AF32"/>
    <mergeCell ref="AG31:AG32"/>
    <mergeCell ref="AC33:AC34"/>
    <mergeCell ref="AD33:AD34"/>
    <mergeCell ref="AE33:AE34"/>
    <mergeCell ref="AF33:AF34"/>
    <mergeCell ref="AG33:AG34"/>
    <mergeCell ref="AH33:AH34"/>
    <mergeCell ref="W33:W34"/>
    <mergeCell ref="X33:X34"/>
    <mergeCell ref="Y33:Y34"/>
    <mergeCell ref="Z33:Z34"/>
    <mergeCell ref="AA33:AA34"/>
    <mergeCell ref="B33:B34"/>
    <mergeCell ref="C33:C34"/>
    <mergeCell ref="D33:D34"/>
    <mergeCell ref="E33:E34"/>
    <mergeCell ref="G33:G34"/>
    <mergeCell ref="H33:H34"/>
    <mergeCell ref="I33:I34"/>
    <mergeCell ref="AB31:AB32"/>
    <mergeCell ref="AC31:AC32"/>
    <mergeCell ref="T31:T32"/>
    <mergeCell ref="W31:W32"/>
    <mergeCell ref="X31:X32"/>
    <mergeCell ref="Y31:Y32"/>
    <mergeCell ref="Z31:Z32"/>
    <mergeCell ref="AA31:AA32"/>
    <mergeCell ref="I31:I32"/>
    <mergeCell ref="N31:N32"/>
    <mergeCell ref="O31:O32"/>
    <mergeCell ref="P31:P32"/>
    <mergeCell ref="R31:R32"/>
    <mergeCell ref="S31:S32"/>
    <mergeCell ref="B31:B32"/>
    <mergeCell ref="C31:C32"/>
    <mergeCell ref="D31:D32"/>
    <mergeCell ref="E31:E32"/>
    <mergeCell ref="G31:G32"/>
    <mergeCell ref="H31:H32"/>
    <mergeCell ref="BC30:BC33"/>
    <mergeCell ref="BD30:BD33"/>
    <mergeCell ref="BE30:BE33"/>
    <mergeCell ref="BF30:BF33"/>
    <mergeCell ref="BG30:BG33"/>
    <mergeCell ref="BH30:BH33"/>
    <mergeCell ref="AW30:AW33"/>
    <mergeCell ref="AX30:AX33"/>
    <mergeCell ref="AY30:AY33"/>
    <mergeCell ref="AZ30:AZ33"/>
    <mergeCell ref="BA30:BA33"/>
    <mergeCell ref="BB30:BB33"/>
    <mergeCell ref="AJ29:AJ30"/>
    <mergeCell ref="AR30:AR33"/>
    <mergeCell ref="AS30:AS33"/>
    <mergeCell ref="AT30:AT33"/>
    <mergeCell ref="AU30:AU33"/>
    <mergeCell ref="AV30:AV33"/>
    <mergeCell ref="AB29:AB30"/>
    <mergeCell ref="AC29:AC30"/>
    <mergeCell ref="AD29:AD30"/>
    <mergeCell ref="AE29:AE30"/>
    <mergeCell ref="AF29:AF30"/>
    <mergeCell ref="AG29:AG30"/>
    <mergeCell ref="T29:T30"/>
    <mergeCell ref="W29:W30"/>
    <mergeCell ref="X29:X30"/>
    <mergeCell ref="Y29:Y30"/>
    <mergeCell ref="Z29:Z30"/>
    <mergeCell ref="AA29:AA30"/>
    <mergeCell ref="I29:I30"/>
    <mergeCell ref="N29:N30"/>
    <mergeCell ref="O29:O30"/>
    <mergeCell ref="P29:P30"/>
    <mergeCell ref="R29:R30"/>
    <mergeCell ref="S29:S30"/>
    <mergeCell ref="B29:B30"/>
    <mergeCell ref="C29:C30"/>
    <mergeCell ref="D29:D30"/>
    <mergeCell ref="E29:E30"/>
    <mergeCell ref="G29:G30"/>
    <mergeCell ref="H29:H30"/>
    <mergeCell ref="AC27:AC28"/>
    <mergeCell ref="AD27:AD28"/>
    <mergeCell ref="AE27:AE28"/>
    <mergeCell ref="AF27:AF28"/>
    <mergeCell ref="AG27:AG28"/>
    <mergeCell ref="AH27:AH28"/>
    <mergeCell ref="W27:W28"/>
    <mergeCell ref="X27:X28"/>
    <mergeCell ref="Y27:Y28"/>
    <mergeCell ref="Z27:Z28"/>
    <mergeCell ref="AA27:AA28"/>
    <mergeCell ref="AB27:AB28"/>
    <mergeCell ref="N27:N28"/>
    <mergeCell ref="O27:O28"/>
    <mergeCell ref="P27:P28"/>
    <mergeCell ref="R27:R28"/>
    <mergeCell ref="S27:S28"/>
    <mergeCell ref="T27:T28"/>
    <mergeCell ref="BF26:BF29"/>
    <mergeCell ref="BG26:BG29"/>
    <mergeCell ref="BH26:BH29"/>
    <mergeCell ref="BB26:BB29"/>
    <mergeCell ref="BC26:BC29"/>
    <mergeCell ref="BD26:BD29"/>
    <mergeCell ref="BE26:BE29"/>
    <mergeCell ref="AI29:AI30"/>
    <mergeCell ref="AA25:AA26"/>
    <mergeCell ref="AB25:AB26"/>
    <mergeCell ref="AC25:AC26"/>
    <mergeCell ref="AD25:AD26"/>
    <mergeCell ref="AE25:AE26"/>
    <mergeCell ref="AF25:AF26"/>
    <mergeCell ref="S25:S26"/>
    <mergeCell ref="T25:T26"/>
    <mergeCell ref="W25:W26"/>
    <mergeCell ref="X25:X26"/>
    <mergeCell ref="B27:B28"/>
    <mergeCell ref="C27:C28"/>
    <mergeCell ref="D27:D28"/>
    <mergeCell ref="E27:E28"/>
    <mergeCell ref="G27:G28"/>
    <mergeCell ref="H27:H28"/>
    <mergeCell ref="I27:I28"/>
    <mergeCell ref="AZ26:AZ29"/>
    <mergeCell ref="BA26:BA29"/>
    <mergeCell ref="AT26:AT29"/>
    <mergeCell ref="AU26:AU29"/>
    <mergeCell ref="AV26:AV29"/>
    <mergeCell ref="AW26:AW29"/>
    <mergeCell ref="AX26:AX29"/>
    <mergeCell ref="AY26:AY29"/>
    <mergeCell ref="AG25:AG26"/>
    <mergeCell ref="AH25:AH26"/>
    <mergeCell ref="AI25:AI26"/>
    <mergeCell ref="AJ25:AJ26"/>
    <mergeCell ref="AR26:AR29"/>
    <mergeCell ref="AS26:AS29"/>
    <mergeCell ref="AI27:AI28"/>
    <mergeCell ref="AJ27:AJ28"/>
    <mergeCell ref="AH29:AH30"/>
    <mergeCell ref="B25:B26"/>
    <mergeCell ref="C25:C26"/>
    <mergeCell ref="D25:D26"/>
    <mergeCell ref="E25:E26"/>
    <mergeCell ref="F25:F26"/>
    <mergeCell ref="G25:G26"/>
    <mergeCell ref="Y25:Y26"/>
    <mergeCell ref="Z25:Z26"/>
    <mergeCell ref="H25:H26"/>
    <mergeCell ref="I25:I26"/>
    <mergeCell ref="N25:N26"/>
    <mergeCell ref="O25:O26"/>
    <mergeCell ref="P25:P26"/>
    <mergeCell ref="R25:R26"/>
    <mergeCell ref="N19:O21"/>
    <mergeCell ref="R19:T21"/>
    <mergeCell ref="W19:X21"/>
    <mergeCell ref="N23:P23"/>
    <mergeCell ref="R23:T23"/>
    <mergeCell ref="W23:AE23"/>
    <mergeCell ref="B14:C14"/>
    <mergeCell ref="B11:C12"/>
    <mergeCell ref="B13:C13"/>
    <mergeCell ref="Z10:AR14"/>
    <mergeCell ref="D14:X14"/>
    <mergeCell ref="D13:X13"/>
    <mergeCell ref="AI23:AI24"/>
    <mergeCell ref="AJ23:AJ24"/>
    <mergeCell ref="AR24:BH24"/>
    <mergeCell ref="AF23:AH23"/>
    <mergeCell ref="BA18:BE18"/>
    <mergeCell ref="AU18:AY18"/>
    <mergeCell ref="B8:C8"/>
    <mergeCell ref="B9:C9"/>
    <mergeCell ref="B10:C10"/>
    <mergeCell ref="B5:C5"/>
    <mergeCell ref="B6:C6"/>
    <mergeCell ref="B7:C7"/>
    <mergeCell ref="AU13:BD16"/>
    <mergeCell ref="AD5:AR8"/>
    <mergeCell ref="Z5:AB8"/>
  </mergeCells>
  <conditionalFormatting sqref="N25:V58">
    <cfRule type="cellIs" dxfId="41" priority="42" operator="greaterThan">
      <formula>0</formula>
    </cfRule>
  </conditionalFormatting>
  <conditionalFormatting sqref="B23:AE23 H24:V24 AI23:AK24 AC27:AK38 G25:AK26 K59:AK59 J58:AK58 M27:V38 J28:L28 J30:L30 J32:L32 J34:L34 J36:L36 J38:L38 J40:L40 J42:L42 J44:L44 J46:L46 J48:L48 J50:L50 J52:L52 M39:AK57 J54:L54 J56:L56 B25:D60 F59:I59 F60:AK60 G27:I58">
    <cfRule type="cellIs" dxfId="40" priority="40" operator="equal">
      <formula>"NO APLICA"</formula>
    </cfRule>
    <cfRule type="cellIs" dxfId="39" priority="41" operator="equal">
      <formula>"NO APLICA"</formula>
    </cfRule>
  </conditionalFormatting>
  <conditionalFormatting sqref="W24:AE24">
    <cfRule type="cellIs" dxfId="38" priority="38" operator="equal">
      <formula>"NO APLICA"</formula>
    </cfRule>
    <cfRule type="cellIs" dxfId="37" priority="39" operator="equal">
      <formula>"NO APLICA"</formula>
    </cfRule>
  </conditionalFormatting>
  <conditionalFormatting sqref="AF23 AF24:AH24">
    <cfRule type="cellIs" dxfId="36" priority="36" operator="equal">
      <formula>"NO APLICA"</formula>
    </cfRule>
    <cfRule type="cellIs" dxfId="35" priority="37" operator="equal">
      <formula>"NO APLICA"</formula>
    </cfRule>
  </conditionalFormatting>
  <conditionalFormatting sqref="AI25:AI58">
    <cfRule type="cellIs" dxfId="34" priority="35" operator="equal">
      <formula>"FALTAN DATOS"</formula>
    </cfRule>
  </conditionalFormatting>
  <conditionalFormatting sqref="F25:F26">
    <cfRule type="cellIs" dxfId="33" priority="33" operator="equal">
      <formula>"NO APLICA"</formula>
    </cfRule>
    <cfRule type="cellIs" dxfId="32" priority="34" operator="equal">
      <formula>"NO APLICA"</formula>
    </cfRule>
  </conditionalFormatting>
  <conditionalFormatting sqref="C27:D60">
    <cfRule type="cellIs" dxfId="31" priority="29" operator="equal">
      <formula>"no aplica"</formula>
    </cfRule>
    <cfRule type="cellIs" dxfId="30" priority="30" operator="equal">
      <formula>"no aplica"</formula>
    </cfRule>
    <cfRule type="cellIs" dxfId="29" priority="31" operator="equal">
      <formula>"no aplica"</formula>
    </cfRule>
    <cfRule type="cellIs" dxfId="28" priority="32" operator="equal">
      <formula>"No aplica"</formula>
    </cfRule>
  </conditionalFormatting>
  <conditionalFormatting sqref="J58:T58 F25:T26 J28:L28 J30:L30 J32:L32 J34:L34 J36:L36 J38:L38 J40:L40 J42:L42 J44:L44 J46:L46 J48:L48 J50:L50 J52:L52 M27:T57 J54:L54 J56:L56 G27:I58">
    <cfRule type="cellIs" dxfId="27" priority="28" operator="equal">
      <formula>"no aplica"</formula>
    </cfRule>
  </conditionalFormatting>
  <conditionalFormatting sqref="W25:AK26 W39:AK58 AC27:AK38">
    <cfRule type="cellIs" dxfId="26" priority="27" operator="equal">
      <formula>"no aplica"</formula>
    </cfRule>
  </conditionalFormatting>
  <conditionalFormatting sqref="N19:O21">
    <cfRule type="cellIs" dxfId="25" priority="26" operator="equal">
      <formula>"FALTAN DATOS"</formula>
    </cfRule>
  </conditionalFormatting>
  <conditionalFormatting sqref="W19:X21">
    <cfRule type="cellIs" dxfId="24" priority="25" operator="equal">
      <formula>"FALTAN DATOS"</formula>
    </cfRule>
  </conditionalFormatting>
  <conditionalFormatting sqref="W27:AB38">
    <cfRule type="cellIs" dxfId="23" priority="23" operator="equal">
      <formula>"NO APLICA"</formula>
    </cfRule>
    <cfRule type="cellIs" dxfId="22" priority="24" operator="equal">
      <formula>"NO APLICA"</formula>
    </cfRule>
  </conditionalFormatting>
  <conditionalFormatting sqref="E41:E60">
    <cfRule type="cellIs" dxfId="21" priority="21" operator="equal">
      <formula>"NO APLICA"</formula>
    </cfRule>
    <cfRule type="cellIs" dxfId="20" priority="22" operator="equal">
      <formula>"NO APLICA"</formula>
    </cfRule>
  </conditionalFormatting>
  <conditionalFormatting sqref="BB42:BC52">
    <cfRule type="colorScale" priority="20">
      <colorScale>
        <cfvo type="min"/>
        <cfvo type="percentile" val="50"/>
        <cfvo type="max"/>
        <color rgb="FFF8696B"/>
        <color rgb="FFFFEB84"/>
        <color rgb="FF63BE7B"/>
      </colorScale>
    </cfRule>
  </conditionalFormatting>
  <conditionalFormatting sqref="AS25:BH25">
    <cfRule type="cellIs" dxfId="19" priority="14" operator="equal">
      <formula>"s/n"</formula>
    </cfRule>
    <cfRule type="cellIs" dxfId="18" priority="15" operator="equal">
      <formula>"final"</formula>
    </cfRule>
    <cfRule type="cellIs" dxfId="17" priority="18" operator="equal">
      <formula>"Final"</formula>
    </cfRule>
    <cfRule type="cellIs" dxfId="16" priority="19" operator="equal">
      <formula>"s/n"</formula>
    </cfRule>
  </conditionalFormatting>
  <conditionalFormatting sqref="AS34:BH34 AS30:BH30 AS26:BH26">
    <cfRule type="cellIs" dxfId="15" priority="43" operator="equal">
      <formula>"no aplica"</formula>
    </cfRule>
    <cfRule type="colorScale" priority="44">
      <colorScale>
        <cfvo type="min"/>
        <cfvo type="percentile" val="50"/>
        <cfvo type="max"/>
        <color rgb="FFF8696B"/>
        <color rgb="FFFFEB84"/>
        <color rgb="FF63BE7B"/>
      </colorScale>
    </cfRule>
  </conditionalFormatting>
  <conditionalFormatting sqref="AR24">
    <cfRule type="cellIs" dxfId="14" priority="16" operator="equal">
      <formula>"NO APLICA"</formula>
    </cfRule>
    <cfRule type="cellIs" dxfId="13" priority="17" operator="equal">
      <formula>"NO APLICA"</formula>
    </cfRule>
  </conditionalFormatting>
  <conditionalFormatting sqref="E25:E28 E39:E40 E35:E36 E31:E32">
    <cfRule type="cellIs" dxfId="12" priority="12" operator="equal">
      <formula>"NO APLICA"</formula>
    </cfRule>
    <cfRule type="cellIs" dxfId="11" priority="13" operator="equal">
      <formula>"NO APLICA"</formula>
    </cfRule>
  </conditionalFormatting>
  <conditionalFormatting sqref="E37:E38">
    <cfRule type="cellIs" dxfId="10" priority="10" operator="equal">
      <formula>"NO APLICA"</formula>
    </cfRule>
    <cfRule type="cellIs" dxfId="9" priority="11" operator="equal">
      <formula>"NO APLICA"</formula>
    </cfRule>
  </conditionalFormatting>
  <conditionalFormatting sqref="E33:E34">
    <cfRule type="cellIs" dxfId="8" priority="8" operator="equal">
      <formula>"NO APLICA"</formula>
    </cfRule>
    <cfRule type="cellIs" dxfId="7" priority="9" operator="equal">
      <formula>"NO APLICA"</formula>
    </cfRule>
  </conditionalFormatting>
  <conditionalFormatting sqref="E29:E30">
    <cfRule type="cellIs" dxfId="6" priority="6" operator="equal">
      <formula>"NO APLICA"</formula>
    </cfRule>
    <cfRule type="cellIs" dxfId="5" priority="7" operator="equal">
      <formula>"NO APLICA"</formula>
    </cfRule>
  </conditionalFormatting>
  <conditionalFormatting sqref="B24:G24">
    <cfRule type="cellIs" dxfId="4" priority="4" operator="equal">
      <formula>"NO APLICA"</formula>
    </cfRule>
    <cfRule type="cellIs" dxfId="3" priority="5" operator="equal">
      <formula>"NO APLICA"</formula>
    </cfRule>
  </conditionalFormatting>
  <conditionalFormatting sqref="F27:F58">
    <cfRule type="cellIs" dxfId="2" priority="2" operator="equal">
      <formula>"NO APLICA"</formula>
    </cfRule>
    <cfRule type="cellIs" dxfId="1" priority="3" operator="equal">
      <formula>"NO APLICA"</formula>
    </cfRule>
  </conditionalFormatting>
  <conditionalFormatting sqref="F27:F58">
    <cfRule type="cellIs" dxfId="0" priority="1" operator="equal">
      <formula>"no aplica"</formula>
    </cfRule>
  </conditionalFormatting>
  <dataValidations count="1">
    <dataValidation type="list" allowBlank="1" showInputMessage="1" showErrorMessage="1" sqref="D13">
      <formula1>Tipo_molinete</formula1>
    </dataValidation>
  </dataValidations>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Hojas de cálculo</vt:lpstr>
      </vt:variant>
      <vt:variant>
        <vt:i4>6</vt:i4>
      </vt:variant>
      <vt:variant>
        <vt:lpstr>Gráficos</vt:lpstr>
      </vt:variant>
      <vt:variant>
        <vt:i4>2</vt:i4>
      </vt:variant>
      <vt:variant>
        <vt:lpstr>Rangos con nombre</vt:lpstr>
      </vt:variant>
      <vt:variant>
        <vt:i4>1</vt:i4>
      </vt:variant>
    </vt:vector>
  </HeadingPairs>
  <TitlesOfParts>
    <vt:vector size="9" baseType="lpstr">
      <vt:lpstr>Cálculo Aforo</vt:lpstr>
      <vt:lpstr>Hidráulica</vt:lpstr>
      <vt:lpstr>Archivos exportables a AutoCAD</vt:lpstr>
      <vt:lpstr>Tabla de cálculo</vt:lpstr>
      <vt:lpstr>Acta de terreno</vt:lpstr>
      <vt:lpstr>Cálculo Aforo - Simplificado</vt:lpstr>
      <vt:lpstr>Gráfico Perfil Canal</vt:lpstr>
      <vt:lpstr>Gráfico Perfil Canal - (A.Simp)</vt:lpstr>
      <vt:lpstr>Tipo_molinete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Aldo</dc:creator>
  <cp:lastModifiedBy>Aldo Tapia</cp:lastModifiedBy>
  <cp:lastPrinted>2015-09-01T18:08:32Z</cp:lastPrinted>
  <dcterms:created xsi:type="dcterms:W3CDTF">2015-03-16T20:03:09Z</dcterms:created>
  <dcterms:modified xsi:type="dcterms:W3CDTF">2017-12-11T13:49:28Z</dcterms:modified>
</cp:coreProperties>
</file>